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 activeTab="4"/>
  </bookViews>
  <sheets>
    <sheet name="план 2021" sheetId="1" r:id="rId1"/>
    <sheet name="на дому тарификация" sheetId="2" r:id="rId2"/>
    <sheet name="тарификация 01012021" sheetId="3" r:id="rId3"/>
    <sheet name="Лист1" sheetId="4" r:id="rId4"/>
    <sheet name="штатка" sheetId="5" r:id="rId5"/>
  </sheets>
  <calcPr calcId="124519"/>
</workbook>
</file>

<file path=xl/calcChain.xml><?xml version="1.0" encoding="utf-8"?>
<calcChain xmlns="http://schemas.openxmlformats.org/spreadsheetml/2006/main">
  <c r="J86" i="5"/>
  <c r="I86"/>
  <c r="J85"/>
  <c r="I85"/>
  <c r="B85"/>
  <c r="G84"/>
  <c r="H84" s="1"/>
  <c r="M84" s="1"/>
  <c r="N84" s="1"/>
  <c r="F84"/>
  <c r="F83"/>
  <c r="G83" s="1"/>
  <c r="H83" s="1"/>
  <c r="M83" s="1"/>
  <c r="N83" s="1"/>
  <c r="F82"/>
  <c r="G82" s="1"/>
  <c r="H82" s="1"/>
  <c r="M82" s="1"/>
  <c r="N82" s="1"/>
  <c r="G81"/>
  <c r="H81" s="1"/>
  <c r="M81" s="1"/>
  <c r="N81" s="1"/>
  <c r="F81"/>
  <c r="H80"/>
  <c r="M80" s="1"/>
  <c r="N80" s="1"/>
  <c r="G80"/>
  <c r="F80"/>
  <c r="F79"/>
  <c r="G79" s="1"/>
  <c r="H79" s="1"/>
  <c r="M79" s="1"/>
  <c r="N79" s="1"/>
  <c r="F78"/>
  <c r="G78" s="1"/>
  <c r="H78" s="1"/>
  <c r="M78" s="1"/>
  <c r="N78" s="1"/>
  <c r="G77"/>
  <c r="H77" s="1"/>
  <c r="F77"/>
  <c r="B76"/>
  <c r="H75"/>
  <c r="M75" s="1"/>
  <c r="N75" s="1"/>
  <c r="G75"/>
  <c r="F75"/>
  <c r="F74"/>
  <c r="G74" s="1"/>
  <c r="H74" s="1"/>
  <c r="J73"/>
  <c r="B73"/>
  <c r="G72"/>
  <c r="H72" s="1"/>
  <c r="M72" s="1"/>
  <c r="N72" s="1"/>
  <c r="F72"/>
  <c r="H71"/>
  <c r="M71" s="1"/>
  <c r="N71" s="1"/>
  <c r="G71"/>
  <c r="F71"/>
  <c r="F70"/>
  <c r="G70" s="1"/>
  <c r="H70" s="1"/>
  <c r="M70" s="1"/>
  <c r="N70" s="1"/>
  <c r="F69"/>
  <c r="G69" s="1"/>
  <c r="H69" s="1"/>
  <c r="M69" s="1"/>
  <c r="N69" s="1"/>
  <c r="G68"/>
  <c r="H68" s="1"/>
  <c r="M68" s="1"/>
  <c r="N68" s="1"/>
  <c r="F68"/>
  <c r="H67"/>
  <c r="M67" s="1"/>
  <c r="N67" s="1"/>
  <c r="G67"/>
  <c r="F67"/>
  <c r="F66"/>
  <c r="G66" s="1"/>
  <c r="H66" s="1"/>
  <c r="M66" s="1"/>
  <c r="N66" s="1"/>
  <c r="F65"/>
  <c r="G65" s="1"/>
  <c r="H65" s="1"/>
  <c r="M65" s="1"/>
  <c r="N65" s="1"/>
  <c r="G64"/>
  <c r="H64" s="1"/>
  <c r="M64" s="1"/>
  <c r="N64" s="1"/>
  <c r="F64"/>
  <c r="H63"/>
  <c r="M63" s="1"/>
  <c r="N63" s="1"/>
  <c r="G63"/>
  <c r="F63"/>
  <c r="F62"/>
  <c r="G62" s="1"/>
  <c r="H62" s="1"/>
  <c r="M62" s="1"/>
  <c r="N62" s="1"/>
  <c r="F61"/>
  <c r="G61" s="1"/>
  <c r="H61" s="1"/>
  <c r="M61" s="1"/>
  <c r="N61" s="1"/>
  <c r="G60"/>
  <c r="H60" s="1"/>
  <c r="M60" s="1"/>
  <c r="N60" s="1"/>
  <c r="F60"/>
  <c r="H59"/>
  <c r="M59" s="1"/>
  <c r="N59" s="1"/>
  <c r="G59"/>
  <c r="F59"/>
  <c r="F58"/>
  <c r="G58" s="1"/>
  <c r="H58" s="1"/>
  <c r="M58" s="1"/>
  <c r="N58" s="1"/>
  <c r="F57"/>
  <c r="G57" s="1"/>
  <c r="H57" s="1"/>
  <c r="M57" s="1"/>
  <c r="N57" s="1"/>
  <c r="G56"/>
  <c r="H56" s="1"/>
  <c r="M56" s="1"/>
  <c r="N56" s="1"/>
  <c r="F56"/>
  <c r="H55"/>
  <c r="G55"/>
  <c r="F55"/>
  <c r="J54"/>
  <c r="B54"/>
  <c r="G53"/>
  <c r="H53" s="1"/>
  <c r="M53" s="1"/>
  <c r="N53" s="1"/>
  <c r="F53"/>
  <c r="H52"/>
  <c r="M52" s="1"/>
  <c r="N52" s="1"/>
  <c r="G52"/>
  <c r="F52"/>
  <c r="F51"/>
  <c r="G51" s="1"/>
  <c r="H51" s="1"/>
  <c r="M51" s="1"/>
  <c r="N51" s="1"/>
  <c r="F50"/>
  <c r="G50" s="1"/>
  <c r="H50" s="1"/>
  <c r="M50" s="1"/>
  <c r="N50" s="1"/>
  <c r="G49"/>
  <c r="H49" s="1"/>
  <c r="M49" s="1"/>
  <c r="N49" s="1"/>
  <c r="F49"/>
  <c r="H48"/>
  <c r="M48" s="1"/>
  <c r="N48" s="1"/>
  <c r="G48"/>
  <c r="F48"/>
  <c r="F47"/>
  <c r="G47" s="1"/>
  <c r="H47" s="1"/>
  <c r="M47" s="1"/>
  <c r="N47" s="1"/>
  <c r="F46"/>
  <c r="G46" s="1"/>
  <c r="H46" s="1"/>
  <c r="M46" s="1"/>
  <c r="N46" s="1"/>
  <c r="G45"/>
  <c r="H45" s="1"/>
  <c r="M45" s="1"/>
  <c r="N45" s="1"/>
  <c r="F45"/>
  <c r="H44"/>
  <c r="M44" s="1"/>
  <c r="N44" s="1"/>
  <c r="G44"/>
  <c r="F44"/>
  <c r="F43"/>
  <c r="G43" s="1"/>
  <c r="H43" s="1"/>
  <c r="M43" s="1"/>
  <c r="N43" s="1"/>
  <c r="G42"/>
  <c r="H42" s="1"/>
  <c r="F42"/>
  <c r="H41"/>
  <c r="M41" s="1"/>
  <c r="N41" s="1"/>
  <c r="G41"/>
  <c r="F41"/>
  <c r="F40"/>
  <c r="G40" s="1"/>
  <c r="H40" s="1"/>
  <c r="M40" s="1"/>
  <c r="N40" s="1"/>
  <c r="G39"/>
  <c r="H39" s="1"/>
  <c r="F39"/>
  <c r="H38"/>
  <c r="H54" s="1"/>
  <c r="G38"/>
  <c r="F38"/>
  <c r="B37"/>
  <c r="B86" s="1"/>
  <c r="F36"/>
  <c r="G36" s="1"/>
  <c r="H36" s="1"/>
  <c r="M36" s="1"/>
  <c r="N36" s="1"/>
  <c r="G35"/>
  <c r="H35" s="1"/>
  <c r="M35" s="1"/>
  <c r="N35" s="1"/>
  <c r="F35"/>
  <c r="F34"/>
  <c r="G34" s="1"/>
  <c r="F33"/>
  <c r="G33" s="1"/>
  <c r="H33" s="1"/>
  <c r="M33" s="1"/>
  <c r="N33" s="1"/>
  <c r="G32"/>
  <c r="H32" s="1"/>
  <c r="M32" s="1"/>
  <c r="N32" s="1"/>
  <c r="F32"/>
  <c r="F31"/>
  <c r="G31" s="1"/>
  <c r="F30"/>
  <c r="G30" s="1"/>
  <c r="H30" s="1"/>
  <c r="M30" s="1"/>
  <c r="N30" s="1"/>
  <c r="G29"/>
  <c r="H29" s="1"/>
  <c r="M29" s="1"/>
  <c r="N29" s="1"/>
  <c r="F29"/>
  <c r="F28"/>
  <c r="G28" s="1"/>
  <c r="G27"/>
  <c r="H27" s="1"/>
  <c r="M27" s="1"/>
  <c r="F27"/>
  <c r="H26"/>
  <c r="M26" s="1"/>
  <c r="N26" s="1"/>
  <c r="F26"/>
  <c r="H25"/>
  <c r="M25" s="1"/>
  <c r="N25" s="1"/>
  <c r="F25"/>
  <c r="F24"/>
  <c r="G24" s="1"/>
  <c r="L42" l="1"/>
  <c r="M42"/>
  <c r="M77"/>
  <c r="H85"/>
  <c r="N27"/>
  <c r="H24"/>
  <c r="K24"/>
  <c r="M39"/>
  <c r="L39"/>
  <c r="L54" s="1"/>
  <c r="L86" s="1"/>
  <c r="H76"/>
  <c r="M74"/>
  <c r="H28"/>
  <c r="M28" s="1"/>
  <c r="K28"/>
  <c r="H31"/>
  <c r="M31" s="1"/>
  <c r="N31" s="1"/>
  <c r="K31"/>
  <c r="H34"/>
  <c r="M34" s="1"/>
  <c r="K34"/>
  <c r="H73"/>
  <c r="K27"/>
  <c r="M38"/>
  <c r="M55"/>
  <c r="M24" l="1"/>
  <c r="H37"/>
  <c r="H86" s="1"/>
  <c r="N42"/>
  <c r="N55"/>
  <c r="N73" s="1"/>
  <c r="M73"/>
  <c r="M76"/>
  <c r="N74"/>
  <c r="N76" s="1"/>
  <c r="M85"/>
  <c r="N77"/>
  <c r="N85" s="1"/>
  <c r="K37"/>
  <c r="K86" s="1"/>
  <c r="N38"/>
  <c r="M54"/>
  <c r="N34"/>
  <c r="N28"/>
  <c r="N39"/>
  <c r="N24" l="1"/>
  <c r="N37" s="1"/>
  <c r="N86" s="1"/>
  <c r="M37"/>
  <c r="M86" s="1"/>
  <c r="N54"/>
  <c r="F105" i="4" l="1"/>
  <c r="F103"/>
  <c r="F99"/>
  <c r="F85"/>
  <c r="BC133" i="3" l="1"/>
  <c r="AA133"/>
  <c r="W133"/>
  <c r="S133"/>
  <c r="AQ132"/>
  <c r="AB132"/>
  <c r="AA132"/>
  <c r="Z132"/>
  <c r="Y132"/>
  <c r="X132"/>
  <c r="W132"/>
  <c r="V132"/>
  <c r="U132"/>
  <c r="T132"/>
  <c r="S132"/>
  <c r="BK131"/>
  <c r="BE131"/>
  <c r="AP131"/>
  <c r="AL131"/>
  <c r="AK131"/>
  <c r="AJ131"/>
  <c r="AI131"/>
  <c r="AH131"/>
  <c r="AG131"/>
  <c r="AF131"/>
  <c r="AE131"/>
  <c r="AD131"/>
  <c r="AC131"/>
  <c r="N131"/>
  <c r="M131"/>
  <c r="H131"/>
  <c r="BG131" s="1"/>
  <c r="BK130"/>
  <c r="BE130"/>
  <c r="AP130"/>
  <c r="AL130"/>
  <c r="AK130"/>
  <c r="AJ130"/>
  <c r="AI130"/>
  <c r="AH130"/>
  <c r="AG130"/>
  <c r="AF130"/>
  <c r="AE130"/>
  <c r="AD130"/>
  <c r="AC130"/>
  <c r="N130"/>
  <c r="M130"/>
  <c r="H130"/>
  <c r="BG130" s="1"/>
  <c r="BK129"/>
  <c r="BG129"/>
  <c r="AP129"/>
  <c r="AL129"/>
  <c r="AK129"/>
  <c r="AJ129"/>
  <c r="AI129"/>
  <c r="AH129"/>
  <c r="AG129"/>
  <c r="AF129"/>
  <c r="AE129"/>
  <c r="AD129"/>
  <c r="AC129"/>
  <c r="N129"/>
  <c r="M129"/>
  <c r="L129"/>
  <c r="BL129" s="1"/>
  <c r="H129"/>
  <c r="BK128"/>
  <c r="BE128"/>
  <c r="BE132" s="1"/>
  <c r="AP128"/>
  <c r="AL128"/>
  <c r="AK128"/>
  <c r="AJ128"/>
  <c r="AI128"/>
  <c r="AH128"/>
  <c r="AG128"/>
  <c r="AF128"/>
  <c r="AE128"/>
  <c r="AD128"/>
  <c r="AC128"/>
  <c r="N128"/>
  <c r="M128"/>
  <c r="BL128" s="1"/>
  <c r="L128"/>
  <c r="H128"/>
  <c r="BG128" s="1"/>
  <c r="BK127"/>
  <c r="AP127"/>
  <c r="AL127"/>
  <c r="AK127"/>
  <c r="AJ127"/>
  <c r="AI127"/>
  <c r="AH127"/>
  <c r="AG127"/>
  <c r="AF127"/>
  <c r="AE127"/>
  <c r="AD127"/>
  <c r="AC127"/>
  <c r="L127"/>
  <c r="H127"/>
  <c r="M127" s="1"/>
  <c r="BK126"/>
  <c r="AP126"/>
  <c r="AL126"/>
  <c r="AK126"/>
  <c r="AJ126"/>
  <c r="AI126"/>
  <c r="AH126"/>
  <c r="AG126"/>
  <c r="AF126"/>
  <c r="AE126"/>
  <c r="AD126"/>
  <c r="AC126"/>
  <c r="H126"/>
  <c r="L126" s="1"/>
  <c r="BK125"/>
  <c r="AP125"/>
  <c r="AL125"/>
  <c r="AK125"/>
  <c r="AJ125"/>
  <c r="AI125"/>
  <c r="AH125"/>
  <c r="AG125"/>
  <c r="AF125"/>
  <c r="AE125"/>
  <c r="AD125"/>
  <c r="AC125"/>
  <c r="P125"/>
  <c r="H125"/>
  <c r="L125" s="1"/>
  <c r="BK124"/>
  <c r="BG124"/>
  <c r="AP124"/>
  <c r="AL124"/>
  <c r="AK124"/>
  <c r="AJ124"/>
  <c r="AI124"/>
  <c r="AH124"/>
  <c r="AG124"/>
  <c r="AF124"/>
  <c r="AE124"/>
  <c r="AD124"/>
  <c r="AC124"/>
  <c r="P124"/>
  <c r="L124"/>
  <c r="H124"/>
  <c r="M124" s="1"/>
  <c r="BK123"/>
  <c r="BG123"/>
  <c r="AP123"/>
  <c r="AL123"/>
  <c r="AK123"/>
  <c r="AJ123"/>
  <c r="AI123"/>
  <c r="AH123"/>
  <c r="AG123"/>
  <c r="AF123"/>
  <c r="AE123"/>
  <c r="AD123"/>
  <c r="AC123"/>
  <c r="P123"/>
  <c r="N123"/>
  <c r="M123"/>
  <c r="L123"/>
  <c r="BL123" s="1"/>
  <c r="H123"/>
  <c r="AY123" s="1"/>
  <c r="BK122"/>
  <c r="AP122"/>
  <c r="AL122"/>
  <c r="AK122"/>
  <c r="AJ122"/>
  <c r="AI122"/>
  <c r="AH122"/>
  <c r="AG122"/>
  <c r="AF122"/>
  <c r="AE122"/>
  <c r="AD122"/>
  <c r="AC122"/>
  <c r="P122"/>
  <c r="N122"/>
  <c r="M122"/>
  <c r="H122"/>
  <c r="AY122" s="1"/>
  <c r="BK121"/>
  <c r="AP121"/>
  <c r="AL121"/>
  <c r="AK121"/>
  <c r="AJ121"/>
  <c r="AI121"/>
  <c r="AH121"/>
  <c r="AG121"/>
  <c r="AF121"/>
  <c r="AE121"/>
  <c r="AD121"/>
  <c r="AC121"/>
  <c r="N121"/>
  <c r="M121"/>
  <c r="BM121" s="1"/>
  <c r="L121"/>
  <c r="BL121" s="1"/>
  <c r="H121"/>
  <c r="BG121" s="1"/>
  <c r="BK120"/>
  <c r="AT120"/>
  <c r="AP120"/>
  <c r="AL120"/>
  <c r="AK120"/>
  <c r="AJ120"/>
  <c r="AI120"/>
  <c r="AH120"/>
  <c r="AG120"/>
  <c r="AF120"/>
  <c r="AE120"/>
  <c r="AD120"/>
  <c r="AC120"/>
  <c r="P120"/>
  <c r="H120"/>
  <c r="AY120" s="1"/>
  <c r="BK119"/>
  <c r="BG119"/>
  <c r="AP119"/>
  <c r="AL119"/>
  <c r="AK119"/>
  <c r="AJ119"/>
  <c r="AI119"/>
  <c r="AH119"/>
  <c r="AG119"/>
  <c r="AF119"/>
  <c r="AE119"/>
  <c r="AD119"/>
  <c r="AC119"/>
  <c r="P119"/>
  <c r="L119"/>
  <c r="H119"/>
  <c r="M119" s="1"/>
  <c r="BK118"/>
  <c r="BG118"/>
  <c r="AP118"/>
  <c r="AL118"/>
  <c r="AK118"/>
  <c r="AJ118"/>
  <c r="AI118"/>
  <c r="AH118"/>
  <c r="AG118"/>
  <c r="AF118"/>
  <c r="AE118"/>
  <c r="AD118"/>
  <c r="AC118"/>
  <c r="P118"/>
  <c r="M118"/>
  <c r="L118"/>
  <c r="BL118" s="1"/>
  <c r="H118"/>
  <c r="N118" s="1"/>
  <c r="BK117"/>
  <c r="AP117"/>
  <c r="AN117"/>
  <c r="AL117"/>
  <c r="AK117"/>
  <c r="AJ117"/>
  <c r="AI117"/>
  <c r="AH117"/>
  <c r="AG117"/>
  <c r="AF117"/>
  <c r="AE117"/>
  <c r="AD117"/>
  <c r="AC117"/>
  <c r="P117"/>
  <c r="H117"/>
  <c r="BB117" s="1"/>
  <c r="BK116"/>
  <c r="BG116"/>
  <c r="AP116"/>
  <c r="AL116"/>
  <c r="AK116"/>
  <c r="AJ116"/>
  <c r="AI116"/>
  <c r="AH116"/>
  <c r="AG116"/>
  <c r="AF116"/>
  <c r="AE116"/>
  <c r="AD116"/>
  <c r="AC116"/>
  <c r="P116"/>
  <c r="L116"/>
  <c r="H116"/>
  <c r="M116" s="1"/>
  <c r="BK115"/>
  <c r="AP115"/>
  <c r="AL115"/>
  <c r="AK115"/>
  <c r="AJ115"/>
  <c r="AI115"/>
  <c r="AH115"/>
  <c r="AG115"/>
  <c r="AF115"/>
  <c r="AE115"/>
  <c r="AD115"/>
  <c r="AC115"/>
  <c r="P115"/>
  <c r="L115"/>
  <c r="H115"/>
  <c r="M115" s="1"/>
  <c r="BK114"/>
  <c r="BG114"/>
  <c r="AP114"/>
  <c r="AN114"/>
  <c r="AL114"/>
  <c r="AK114"/>
  <c r="AJ114"/>
  <c r="AI114"/>
  <c r="AH114"/>
  <c r="AG114"/>
  <c r="AF114"/>
  <c r="AE114"/>
  <c r="AD114"/>
  <c r="AC114"/>
  <c r="P114"/>
  <c r="M114"/>
  <c r="L114"/>
  <c r="BL114" s="1"/>
  <c r="H114"/>
  <c r="N114" s="1"/>
  <c r="BK113"/>
  <c r="AP113"/>
  <c r="AL113"/>
  <c r="AK113"/>
  <c r="AJ113"/>
  <c r="AI113"/>
  <c r="AH113"/>
  <c r="AG113"/>
  <c r="AF113"/>
  <c r="AE113"/>
  <c r="AD113"/>
  <c r="AC113"/>
  <c r="L113"/>
  <c r="H113"/>
  <c r="M113" s="1"/>
  <c r="BK112"/>
  <c r="AT112"/>
  <c r="AP112"/>
  <c r="AL112"/>
  <c r="AK112"/>
  <c r="AJ112"/>
  <c r="AI112"/>
  <c r="AH112"/>
  <c r="AG112"/>
  <c r="AF112"/>
  <c r="AE112"/>
  <c r="AD112"/>
  <c r="AC112"/>
  <c r="L112"/>
  <c r="H112"/>
  <c r="M112" s="1"/>
  <c r="BK111"/>
  <c r="AP111"/>
  <c r="AL111"/>
  <c r="AK111"/>
  <c r="AJ111"/>
  <c r="AI111"/>
  <c r="AH111"/>
  <c r="AG111"/>
  <c r="AF111"/>
  <c r="AE111"/>
  <c r="AD111"/>
  <c r="AC111"/>
  <c r="H111"/>
  <c r="L111" s="1"/>
  <c r="BK110"/>
  <c r="BG110"/>
  <c r="AP110"/>
  <c r="AL110"/>
  <c r="AK110"/>
  <c r="AJ110"/>
  <c r="AI110"/>
  <c r="AH110"/>
  <c r="AG110"/>
  <c r="AF110"/>
  <c r="AE110"/>
  <c r="AD110"/>
  <c r="AC110"/>
  <c r="N110"/>
  <c r="M110"/>
  <c r="H110"/>
  <c r="L110" s="1"/>
  <c r="BK109"/>
  <c r="AP109"/>
  <c r="AL109"/>
  <c r="AK109"/>
  <c r="AJ109"/>
  <c r="AI109"/>
  <c r="AH109"/>
  <c r="AG109"/>
  <c r="AF109"/>
  <c r="AE109"/>
  <c r="AD109"/>
  <c r="AC109"/>
  <c r="M109"/>
  <c r="L109"/>
  <c r="H109"/>
  <c r="BG109" s="1"/>
  <c r="BK108"/>
  <c r="AP108"/>
  <c r="AL108"/>
  <c r="AK108"/>
  <c r="AJ108"/>
  <c r="AI108"/>
  <c r="AH108"/>
  <c r="AG108"/>
  <c r="AF108"/>
  <c r="AE108"/>
  <c r="AD108"/>
  <c r="AC108"/>
  <c r="L108"/>
  <c r="H108"/>
  <c r="M108" s="1"/>
  <c r="BK107"/>
  <c r="AP107"/>
  <c r="AL107"/>
  <c r="AK107"/>
  <c r="AJ107"/>
  <c r="AI107"/>
  <c r="AH107"/>
  <c r="AG107"/>
  <c r="AF107"/>
  <c r="AE107"/>
  <c r="AD107"/>
  <c r="AC107"/>
  <c r="H107"/>
  <c r="L107" s="1"/>
  <c r="BK106"/>
  <c r="AP106"/>
  <c r="AL106"/>
  <c r="AK106"/>
  <c r="AJ106"/>
  <c r="AI106"/>
  <c r="AH106"/>
  <c r="AG106"/>
  <c r="AF106"/>
  <c r="AE106"/>
  <c r="AD106"/>
  <c r="AC106"/>
  <c r="P106"/>
  <c r="H106"/>
  <c r="L106" s="1"/>
  <c r="BK105"/>
  <c r="BG105"/>
  <c r="AP105"/>
  <c r="AL105"/>
  <c r="AK105"/>
  <c r="AJ105"/>
  <c r="AI105"/>
  <c r="AH105"/>
  <c r="AG105"/>
  <c r="AF105"/>
  <c r="AE105"/>
  <c r="AD105"/>
  <c r="AC105"/>
  <c r="N105"/>
  <c r="M105"/>
  <c r="H105"/>
  <c r="L105" s="1"/>
  <c r="BK104"/>
  <c r="AP104"/>
  <c r="AL104"/>
  <c r="AK104"/>
  <c r="AJ104"/>
  <c r="AI104"/>
  <c r="AH104"/>
  <c r="AG104"/>
  <c r="AF104"/>
  <c r="AE104"/>
  <c r="AD104"/>
  <c r="AC104"/>
  <c r="P104"/>
  <c r="P132" s="1"/>
  <c r="N104"/>
  <c r="M104"/>
  <c r="H104"/>
  <c r="BG104" s="1"/>
  <c r="BK103"/>
  <c r="BG103"/>
  <c r="AP103"/>
  <c r="AL103"/>
  <c r="AK103"/>
  <c r="AJ103"/>
  <c r="AI103"/>
  <c r="AH103"/>
  <c r="AG103"/>
  <c r="AF103"/>
  <c r="AE103"/>
  <c r="AD103"/>
  <c r="AC103"/>
  <c r="N103"/>
  <c r="M103"/>
  <c r="L103"/>
  <c r="BL103" s="1"/>
  <c r="H103"/>
  <c r="BK102"/>
  <c r="AT102"/>
  <c r="AT132" s="1"/>
  <c r="AP102"/>
  <c r="AL102"/>
  <c r="AK102"/>
  <c r="AJ102"/>
  <c r="AI102"/>
  <c r="AH102"/>
  <c r="AG102"/>
  <c r="AF102"/>
  <c r="AE102"/>
  <c r="AD102"/>
  <c r="AC102"/>
  <c r="Q102"/>
  <c r="N102"/>
  <c r="M102"/>
  <c r="H102"/>
  <c r="BG102" s="1"/>
  <c r="BK101"/>
  <c r="AP101"/>
  <c r="AL101"/>
  <c r="AK101"/>
  <c r="AJ101"/>
  <c r="AI101"/>
  <c r="AH101"/>
  <c r="AG101"/>
  <c r="AF101"/>
  <c r="AE101"/>
  <c r="AD101"/>
  <c r="AC101"/>
  <c r="Q101"/>
  <c r="N101"/>
  <c r="M101"/>
  <c r="H101"/>
  <c r="BG101" s="1"/>
  <c r="BK100"/>
  <c r="BG100"/>
  <c r="AP100"/>
  <c r="AL100"/>
  <c r="AK100"/>
  <c r="AJ100"/>
  <c r="AI100"/>
  <c r="AH100"/>
  <c r="AG100"/>
  <c r="AF100"/>
  <c r="AE100"/>
  <c r="AD100"/>
  <c r="AC100"/>
  <c r="N100"/>
  <c r="M100"/>
  <c r="BM100" s="1"/>
  <c r="L100"/>
  <c r="BL100" s="1"/>
  <c r="H100"/>
  <c r="BK99"/>
  <c r="AP99"/>
  <c r="AL99"/>
  <c r="AK99"/>
  <c r="AJ99"/>
  <c r="AI99"/>
  <c r="AH99"/>
  <c r="AG99"/>
  <c r="AF99"/>
  <c r="AE99"/>
  <c r="AD99"/>
  <c r="AC99"/>
  <c r="L99"/>
  <c r="H99"/>
  <c r="M99" s="1"/>
  <c r="BK98"/>
  <c r="AP98"/>
  <c r="AL98"/>
  <c r="AK98"/>
  <c r="AJ98"/>
  <c r="AI98"/>
  <c r="AH98"/>
  <c r="AG98"/>
  <c r="AF98"/>
  <c r="AE98"/>
  <c r="AD98"/>
  <c r="AC98"/>
  <c r="H98"/>
  <c r="L98" s="1"/>
  <c r="BK97"/>
  <c r="BG97"/>
  <c r="AP97"/>
  <c r="AL97"/>
  <c r="AK97"/>
  <c r="AJ97"/>
  <c r="AI97"/>
  <c r="AH97"/>
  <c r="AG97"/>
  <c r="AF97"/>
  <c r="AE97"/>
  <c r="AD97"/>
  <c r="AC97"/>
  <c r="N97"/>
  <c r="M97"/>
  <c r="H97"/>
  <c r="L97" s="1"/>
  <c r="BK96"/>
  <c r="BG96"/>
  <c r="AP96"/>
  <c r="AL96"/>
  <c r="AK96"/>
  <c r="AJ96"/>
  <c r="AI96"/>
  <c r="AH96"/>
  <c r="AG96"/>
  <c r="AF96"/>
  <c r="AE96"/>
  <c r="AD96"/>
  <c r="AC96"/>
  <c r="N96"/>
  <c r="M96"/>
  <c r="BM96" s="1"/>
  <c r="L96"/>
  <c r="BL96" s="1"/>
  <c r="H96"/>
  <c r="BK95"/>
  <c r="AY95"/>
  <c r="AP95"/>
  <c r="AL95"/>
  <c r="AK95"/>
  <c r="AJ95"/>
  <c r="AI95"/>
  <c r="AH95"/>
  <c r="AG95"/>
  <c r="AF95"/>
  <c r="AE95"/>
  <c r="AD95"/>
  <c r="AC95"/>
  <c r="N95"/>
  <c r="M95"/>
  <c r="BL95" s="1"/>
  <c r="L95"/>
  <c r="BM95" s="1"/>
  <c r="H95"/>
  <c r="BG95" s="1"/>
  <c r="BK94"/>
  <c r="BK132" s="1"/>
  <c r="AP94"/>
  <c r="AL94"/>
  <c r="AK94"/>
  <c r="AJ94"/>
  <c r="AI94"/>
  <c r="AH94"/>
  <c r="AG94"/>
  <c r="AF94"/>
  <c r="AE94"/>
  <c r="AD94"/>
  <c r="AC94"/>
  <c r="Q94"/>
  <c r="N94"/>
  <c r="M94"/>
  <c r="H94"/>
  <c r="AY94" s="1"/>
  <c r="BK93"/>
  <c r="AP93"/>
  <c r="AL93"/>
  <c r="AK93"/>
  <c r="AJ93"/>
  <c r="AI93"/>
  <c r="AH93"/>
  <c r="AG93"/>
  <c r="AF93"/>
  <c r="AE93"/>
  <c r="AD93"/>
  <c r="AC93"/>
  <c r="Q93"/>
  <c r="H93"/>
  <c r="BG93" s="1"/>
  <c r="AP92"/>
  <c r="AL92"/>
  <c r="AK92"/>
  <c r="AJ92"/>
  <c r="AI92"/>
  <c r="AH92"/>
  <c r="AG92"/>
  <c r="AF92"/>
  <c r="AE92"/>
  <c r="AD92"/>
  <c r="AC92"/>
  <c r="Q92"/>
  <c r="H92"/>
  <c r="BG92" s="1"/>
  <c r="AP91"/>
  <c r="AL91"/>
  <c r="AK91"/>
  <c r="AJ91"/>
  <c r="AJ132" s="1"/>
  <c r="AI91"/>
  <c r="AH91"/>
  <c r="AG91"/>
  <c r="AF91"/>
  <c r="AF132" s="1"/>
  <c r="AE91"/>
  <c r="AD91"/>
  <c r="AC91"/>
  <c r="Q91"/>
  <c r="H91"/>
  <c r="BG91" s="1"/>
  <c r="AY90"/>
  <c r="AP90"/>
  <c r="AN90"/>
  <c r="AL90"/>
  <c r="AK90"/>
  <c r="AJ90"/>
  <c r="AI90"/>
  <c r="AH90"/>
  <c r="AG90"/>
  <c r="AF90"/>
  <c r="AE90"/>
  <c r="AD90"/>
  <c r="AC90"/>
  <c r="Q90"/>
  <c r="Q132" s="1"/>
  <c r="L90"/>
  <c r="H90"/>
  <c r="BG90" s="1"/>
  <c r="AP89"/>
  <c r="AL89"/>
  <c r="AK89"/>
  <c r="AJ89"/>
  <c r="AI89"/>
  <c r="AH89"/>
  <c r="AG89"/>
  <c r="AF89"/>
  <c r="AE89"/>
  <c r="AD89"/>
  <c r="AC89"/>
  <c r="H89"/>
  <c r="L89" s="1"/>
  <c r="BG88"/>
  <c r="AP88"/>
  <c r="AP132" s="1"/>
  <c r="AL88"/>
  <c r="AK88"/>
  <c r="AJ88"/>
  <c r="AI88"/>
  <c r="AH88"/>
  <c r="AG88"/>
  <c r="AF88"/>
  <c r="AE88"/>
  <c r="AD88"/>
  <c r="AC88"/>
  <c r="N88"/>
  <c r="M88"/>
  <c r="L88"/>
  <c r="BL88" s="1"/>
  <c r="H88"/>
  <c r="BG87"/>
  <c r="AP87"/>
  <c r="AN87"/>
  <c r="AN132" s="1"/>
  <c r="AL87"/>
  <c r="AL132" s="1"/>
  <c r="AK87"/>
  <c r="AK132" s="1"/>
  <c r="AJ87"/>
  <c r="AI87"/>
  <c r="AI132" s="1"/>
  <c r="AH87"/>
  <c r="AH132" s="1"/>
  <c r="AG87"/>
  <c r="AG132" s="1"/>
  <c r="AF87"/>
  <c r="AE87"/>
  <c r="AE132" s="1"/>
  <c r="AD87"/>
  <c r="AD132" s="1"/>
  <c r="AC87"/>
  <c r="AC132" s="1"/>
  <c r="N87"/>
  <c r="M87"/>
  <c r="BL87" s="1"/>
  <c r="L87"/>
  <c r="H87"/>
  <c r="AY87" s="1"/>
  <c r="AR86"/>
  <c r="AB86"/>
  <c r="AB133" s="1"/>
  <c r="AA86"/>
  <c r="Z86"/>
  <c r="Z133" s="1"/>
  <c r="Y86"/>
  <c r="Y133" s="1"/>
  <c r="X86"/>
  <c r="X133" s="1"/>
  <c r="W86"/>
  <c r="V86"/>
  <c r="V133" s="1"/>
  <c r="U86"/>
  <c r="U133" s="1"/>
  <c r="T86"/>
  <c r="T133" s="1"/>
  <c r="S86"/>
  <c r="H86"/>
  <c r="BK85"/>
  <c r="AP85"/>
  <c r="AL85"/>
  <c r="AK85"/>
  <c r="AJ85"/>
  <c r="AI85"/>
  <c r="AH85"/>
  <c r="AG85"/>
  <c r="AF85"/>
  <c r="AE85"/>
  <c r="AD85"/>
  <c r="AC85"/>
  <c r="L85"/>
  <c r="H85"/>
  <c r="M85" s="1"/>
  <c r="BK84"/>
  <c r="BG84"/>
  <c r="AP84"/>
  <c r="AL84"/>
  <c r="AK84"/>
  <c r="AJ84"/>
  <c r="AI84"/>
  <c r="AH84"/>
  <c r="AG84"/>
  <c r="AF84"/>
  <c r="AE84"/>
  <c r="AD84"/>
  <c r="AC84"/>
  <c r="Q84"/>
  <c r="N84"/>
  <c r="M84"/>
  <c r="L84"/>
  <c r="BL84" s="1"/>
  <c r="H84"/>
  <c r="AY84" s="1"/>
  <c r="BK83"/>
  <c r="AP83"/>
  <c r="AL83"/>
  <c r="AK83"/>
  <c r="AJ83"/>
  <c r="AI83"/>
  <c r="AH83"/>
  <c r="AG83"/>
  <c r="AF83"/>
  <c r="AE83"/>
  <c r="AD83"/>
  <c r="AC83"/>
  <c r="P83"/>
  <c r="N83"/>
  <c r="M83"/>
  <c r="H83"/>
  <c r="AY83" s="1"/>
  <c r="BK82"/>
  <c r="BG82"/>
  <c r="AP82"/>
  <c r="AL82"/>
  <c r="AK82"/>
  <c r="AJ82"/>
  <c r="AI82"/>
  <c r="AH82"/>
  <c r="AG82"/>
  <c r="AF82"/>
  <c r="AE82"/>
  <c r="AD82"/>
  <c r="AC82"/>
  <c r="N82"/>
  <c r="M82"/>
  <c r="L82"/>
  <c r="BL82" s="1"/>
  <c r="H82"/>
  <c r="BK81"/>
  <c r="AP81"/>
  <c r="AL81"/>
  <c r="AK81"/>
  <c r="AJ81"/>
  <c r="AI81"/>
  <c r="AH81"/>
  <c r="AG81"/>
  <c r="AF81"/>
  <c r="AE81"/>
  <c r="AD81"/>
  <c r="AC81"/>
  <c r="Q81"/>
  <c r="N81"/>
  <c r="M81"/>
  <c r="H81"/>
  <c r="AY81" s="1"/>
  <c r="BK80"/>
  <c r="AP80"/>
  <c r="AL80"/>
  <c r="AK80"/>
  <c r="AJ80"/>
  <c r="AI80"/>
  <c r="AH80"/>
  <c r="AG80"/>
  <c r="AF80"/>
  <c r="AE80"/>
  <c r="AD80"/>
  <c r="AC80"/>
  <c r="P80"/>
  <c r="N80"/>
  <c r="M80"/>
  <c r="H80"/>
  <c r="BG80" s="1"/>
  <c r="BK79"/>
  <c r="AY79"/>
  <c r="AY86" s="1"/>
  <c r="AP79"/>
  <c r="AL79"/>
  <c r="AK79"/>
  <c r="AJ79"/>
  <c r="AI79"/>
  <c r="AH79"/>
  <c r="AG79"/>
  <c r="AF79"/>
  <c r="AE79"/>
  <c r="AD79"/>
  <c r="AC79"/>
  <c r="N79"/>
  <c r="M79"/>
  <c r="H79"/>
  <c r="BG79" s="1"/>
  <c r="BK78"/>
  <c r="AP78"/>
  <c r="AL78"/>
  <c r="AK78"/>
  <c r="AJ78"/>
  <c r="AI78"/>
  <c r="AH78"/>
  <c r="AG78"/>
  <c r="AF78"/>
  <c r="AE78"/>
  <c r="AD78"/>
  <c r="AC78"/>
  <c r="P78"/>
  <c r="H78"/>
  <c r="BG78" s="1"/>
  <c r="BK77"/>
  <c r="BG77"/>
  <c r="AP77"/>
  <c r="AL77"/>
  <c r="AK77"/>
  <c r="AJ77"/>
  <c r="AI77"/>
  <c r="AH77"/>
  <c r="AG77"/>
  <c r="AF77"/>
  <c r="AE77"/>
  <c r="AD77"/>
  <c r="AC77"/>
  <c r="P77"/>
  <c r="L77"/>
  <c r="H77"/>
  <c r="M77" s="1"/>
  <c r="BK76"/>
  <c r="AP76"/>
  <c r="AL76"/>
  <c r="AK76"/>
  <c r="AJ76"/>
  <c r="AI76"/>
  <c r="AH76"/>
  <c r="AG76"/>
  <c r="AF76"/>
  <c r="AE76"/>
  <c r="AD76"/>
  <c r="AC76"/>
  <c r="L76"/>
  <c r="H76"/>
  <c r="M76" s="1"/>
  <c r="BK75"/>
  <c r="AP75"/>
  <c r="AL75"/>
  <c r="AK75"/>
  <c r="AJ75"/>
  <c r="AI75"/>
  <c r="AH75"/>
  <c r="AG75"/>
  <c r="AF75"/>
  <c r="AE75"/>
  <c r="AD75"/>
  <c r="AC75"/>
  <c r="L75"/>
  <c r="H75"/>
  <c r="M75" s="1"/>
  <c r="BK74"/>
  <c r="BG74"/>
  <c r="AP74"/>
  <c r="AL74"/>
  <c r="AK74"/>
  <c r="AJ74"/>
  <c r="AI74"/>
  <c r="AH74"/>
  <c r="AG74"/>
  <c r="AF74"/>
  <c r="AE74"/>
  <c r="AD74"/>
  <c r="AC74"/>
  <c r="P74"/>
  <c r="N74"/>
  <c r="M74"/>
  <c r="L74"/>
  <c r="BL74" s="1"/>
  <c r="H74"/>
  <c r="BB74" s="1"/>
  <c r="BK73"/>
  <c r="AP73"/>
  <c r="AL73"/>
  <c r="AK73"/>
  <c r="AJ73"/>
  <c r="AI73"/>
  <c r="AH73"/>
  <c r="AG73"/>
  <c r="AF73"/>
  <c r="AE73"/>
  <c r="AD73"/>
  <c r="AC73"/>
  <c r="L73"/>
  <c r="H73"/>
  <c r="M73" s="1"/>
  <c r="BK72"/>
  <c r="BI72"/>
  <c r="AP72"/>
  <c r="AN72"/>
  <c r="AL72"/>
  <c r="AK72"/>
  <c r="AJ72"/>
  <c r="AI72"/>
  <c r="AH72"/>
  <c r="AG72"/>
  <c r="AF72"/>
  <c r="AE72"/>
  <c r="AD72"/>
  <c r="AC72"/>
  <c r="Q72"/>
  <c r="H72"/>
  <c r="BB72" s="1"/>
  <c r="BK71"/>
  <c r="BG71"/>
  <c r="AP71"/>
  <c r="AL71"/>
  <c r="AK71"/>
  <c r="AJ71"/>
  <c r="AI71"/>
  <c r="AH71"/>
  <c r="AG71"/>
  <c r="AF71"/>
  <c r="AE71"/>
  <c r="AD71"/>
  <c r="AC71"/>
  <c r="P71"/>
  <c r="L71"/>
  <c r="H71"/>
  <c r="M71" s="1"/>
  <c r="BK70"/>
  <c r="AP70"/>
  <c r="AL70"/>
  <c r="AK70"/>
  <c r="AJ70"/>
  <c r="AI70"/>
  <c r="AH70"/>
  <c r="AG70"/>
  <c r="AF70"/>
  <c r="AE70"/>
  <c r="AD70"/>
  <c r="AC70"/>
  <c r="L70"/>
  <c r="H70"/>
  <c r="M70" s="1"/>
  <c r="BK69"/>
  <c r="AP69"/>
  <c r="AL69"/>
  <c r="AK69"/>
  <c r="AJ69"/>
  <c r="AI69"/>
  <c r="AH69"/>
  <c r="AG69"/>
  <c r="AF69"/>
  <c r="AE69"/>
  <c r="AD69"/>
  <c r="AC69"/>
  <c r="H69"/>
  <c r="L69" s="1"/>
  <c r="BK68"/>
  <c r="BG68"/>
  <c r="AP68"/>
  <c r="AL68"/>
  <c r="AK68"/>
  <c r="AJ68"/>
  <c r="AI68"/>
  <c r="AH68"/>
  <c r="AG68"/>
  <c r="AF68"/>
  <c r="AE68"/>
  <c r="AD68"/>
  <c r="AC68"/>
  <c r="N68"/>
  <c r="M68"/>
  <c r="H68"/>
  <c r="L68" s="1"/>
  <c r="BK67"/>
  <c r="AP67"/>
  <c r="AL67"/>
  <c r="AK67"/>
  <c r="AJ67"/>
  <c r="AI67"/>
  <c r="AH67"/>
  <c r="AG67"/>
  <c r="AF67"/>
  <c r="AE67"/>
  <c r="AD67"/>
  <c r="AC67"/>
  <c r="M67"/>
  <c r="L67"/>
  <c r="H67"/>
  <c r="BG67" s="1"/>
  <c r="BK66"/>
  <c r="AP66"/>
  <c r="AL66"/>
  <c r="AK66"/>
  <c r="AJ66"/>
  <c r="AI66"/>
  <c r="AH66"/>
  <c r="AG66"/>
  <c r="AF66"/>
  <c r="AE66"/>
  <c r="AD66"/>
  <c r="AC66"/>
  <c r="L66"/>
  <c r="H66"/>
  <c r="M66" s="1"/>
  <c r="BK65"/>
  <c r="BG65"/>
  <c r="AP65"/>
  <c r="AN65"/>
  <c r="AL65"/>
  <c r="AK65"/>
  <c r="AJ65"/>
  <c r="AI65"/>
  <c r="AH65"/>
  <c r="AG65"/>
  <c r="AF65"/>
  <c r="AE65"/>
  <c r="AD65"/>
  <c r="AC65"/>
  <c r="Q65"/>
  <c r="M65"/>
  <c r="L65"/>
  <c r="BL65" s="1"/>
  <c r="H65"/>
  <c r="N65" s="1"/>
  <c r="BK64"/>
  <c r="AP64"/>
  <c r="AL64"/>
  <c r="AK64"/>
  <c r="AJ64"/>
  <c r="AI64"/>
  <c r="AH64"/>
  <c r="AG64"/>
  <c r="AF64"/>
  <c r="AE64"/>
  <c r="AD64"/>
  <c r="AC64"/>
  <c r="R64"/>
  <c r="N64"/>
  <c r="BL64" s="1"/>
  <c r="M64"/>
  <c r="L64"/>
  <c r="H64"/>
  <c r="BB64" s="1"/>
  <c r="BK63"/>
  <c r="AP63"/>
  <c r="AL63"/>
  <c r="AK63"/>
  <c r="AJ63"/>
  <c r="AI63"/>
  <c r="AH63"/>
  <c r="AG63"/>
  <c r="AF63"/>
  <c r="AE63"/>
  <c r="AD63"/>
  <c r="AC63"/>
  <c r="P63"/>
  <c r="H63"/>
  <c r="BG63" s="1"/>
  <c r="BK62"/>
  <c r="BG62"/>
  <c r="AP62"/>
  <c r="AL62"/>
  <c r="AK62"/>
  <c r="AJ62"/>
  <c r="AI62"/>
  <c r="AH62"/>
  <c r="AG62"/>
  <c r="AF62"/>
  <c r="AE62"/>
  <c r="AD62"/>
  <c r="AC62"/>
  <c r="N62"/>
  <c r="M62"/>
  <c r="BM62" s="1"/>
  <c r="L62"/>
  <c r="BL62" s="1"/>
  <c r="H62"/>
  <c r="BK61"/>
  <c r="AP61"/>
  <c r="AL61"/>
  <c r="AK61"/>
  <c r="AJ61"/>
  <c r="AI61"/>
  <c r="AH61"/>
  <c r="AG61"/>
  <c r="AF61"/>
  <c r="AE61"/>
  <c r="AD61"/>
  <c r="AC61"/>
  <c r="Q61"/>
  <c r="H61"/>
  <c r="BG61" s="1"/>
  <c r="BK60"/>
  <c r="AP60"/>
  <c r="AL60"/>
  <c r="AK60"/>
  <c r="AJ60"/>
  <c r="AI60"/>
  <c r="AH60"/>
  <c r="AG60"/>
  <c r="AF60"/>
  <c r="AE60"/>
  <c r="AD60"/>
  <c r="AC60"/>
  <c r="R60"/>
  <c r="H60"/>
  <c r="L60" s="1"/>
  <c r="BK59"/>
  <c r="BG59"/>
  <c r="AP59"/>
  <c r="AL59"/>
  <c r="AK59"/>
  <c r="AJ59"/>
  <c r="AI59"/>
  <c r="AH59"/>
  <c r="AG59"/>
  <c r="AF59"/>
  <c r="AE59"/>
  <c r="AD59"/>
  <c r="AC59"/>
  <c r="N59"/>
  <c r="M59"/>
  <c r="BM59" s="1"/>
  <c r="L59"/>
  <c r="BL59" s="1"/>
  <c r="H59"/>
  <c r="BK58"/>
  <c r="BB58"/>
  <c r="AP58"/>
  <c r="AN58"/>
  <c r="AL58"/>
  <c r="AK58"/>
  <c r="AJ58"/>
  <c r="AI58"/>
  <c r="AH58"/>
  <c r="AG58"/>
  <c r="AF58"/>
  <c r="AE58"/>
  <c r="AD58"/>
  <c r="AC58"/>
  <c r="P58"/>
  <c r="L58"/>
  <c r="H58"/>
  <c r="BG58" s="1"/>
  <c r="BK57"/>
  <c r="AP57"/>
  <c r="AL57"/>
  <c r="AK57"/>
  <c r="AJ57"/>
  <c r="AI57"/>
  <c r="AH57"/>
  <c r="AG57"/>
  <c r="AF57"/>
  <c r="AE57"/>
  <c r="AD57"/>
  <c r="AC57"/>
  <c r="L57"/>
  <c r="H57"/>
  <c r="M57" s="1"/>
  <c r="BK56"/>
  <c r="BG56"/>
  <c r="AP56"/>
  <c r="AL56"/>
  <c r="AK56"/>
  <c r="AJ56"/>
  <c r="AI56"/>
  <c r="AH56"/>
  <c r="AG56"/>
  <c r="AF56"/>
  <c r="AE56"/>
  <c r="AD56"/>
  <c r="AC56"/>
  <c r="Q56"/>
  <c r="M56"/>
  <c r="L56"/>
  <c r="H56"/>
  <c r="N56" s="1"/>
  <c r="BK55"/>
  <c r="AP55"/>
  <c r="AN55"/>
  <c r="AL55"/>
  <c r="AK55"/>
  <c r="AJ55"/>
  <c r="AI55"/>
  <c r="AH55"/>
  <c r="AG55"/>
  <c r="AF55"/>
  <c r="AE55"/>
  <c r="AD55"/>
  <c r="AC55"/>
  <c r="Q55"/>
  <c r="H55"/>
  <c r="BE55" s="1"/>
  <c r="BK54"/>
  <c r="AP54"/>
  <c r="AL54"/>
  <c r="AK54"/>
  <c r="AJ54"/>
  <c r="AI54"/>
  <c r="AH54"/>
  <c r="AG54"/>
  <c r="AF54"/>
  <c r="AE54"/>
  <c r="AD54"/>
  <c r="AC54"/>
  <c r="H54"/>
  <c r="L54" s="1"/>
  <c r="BK53"/>
  <c r="BI53"/>
  <c r="AP53"/>
  <c r="AL53"/>
  <c r="AK53"/>
  <c r="AJ53"/>
  <c r="AI53"/>
  <c r="AH53"/>
  <c r="AG53"/>
  <c r="AF53"/>
  <c r="AE53"/>
  <c r="AD53"/>
  <c r="AC53"/>
  <c r="L53"/>
  <c r="H53"/>
  <c r="M53" s="1"/>
  <c r="BK52"/>
  <c r="BG52"/>
  <c r="AP52"/>
  <c r="AL52"/>
  <c r="AK52"/>
  <c r="AJ52"/>
  <c r="AI52"/>
  <c r="AH52"/>
  <c r="AG52"/>
  <c r="AF52"/>
  <c r="AE52"/>
  <c r="AD52"/>
  <c r="AC52"/>
  <c r="P52"/>
  <c r="M52"/>
  <c r="L52"/>
  <c r="H52"/>
  <c r="N52" s="1"/>
  <c r="BK51"/>
  <c r="AP51"/>
  <c r="AL51"/>
  <c r="AK51"/>
  <c r="AJ51"/>
  <c r="AI51"/>
  <c r="AH51"/>
  <c r="AG51"/>
  <c r="AF51"/>
  <c r="AE51"/>
  <c r="AD51"/>
  <c r="AC51"/>
  <c r="Q51"/>
  <c r="N51"/>
  <c r="BL51" s="1"/>
  <c r="M51"/>
  <c r="L51"/>
  <c r="H51"/>
  <c r="BE51" s="1"/>
  <c r="BK50"/>
  <c r="AP50"/>
  <c r="AL50"/>
  <c r="AK50"/>
  <c r="AJ50"/>
  <c r="AI50"/>
  <c r="AH50"/>
  <c r="AG50"/>
  <c r="AF50"/>
  <c r="AE50"/>
  <c r="AD50"/>
  <c r="AC50"/>
  <c r="Q50"/>
  <c r="H50"/>
  <c r="BG50" s="1"/>
  <c r="BK49"/>
  <c r="BI49"/>
  <c r="BG49"/>
  <c r="AP49"/>
  <c r="AN49"/>
  <c r="AL49"/>
  <c r="AK49"/>
  <c r="AJ49"/>
  <c r="AI49"/>
  <c r="AH49"/>
  <c r="AG49"/>
  <c r="AF49"/>
  <c r="AE49"/>
  <c r="AD49"/>
  <c r="AC49"/>
  <c r="M49"/>
  <c r="L49"/>
  <c r="H49"/>
  <c r="N49" s="1"/>
  <c r="BK48"/>
  <c r="AV48"/>
  <c r="AP48"/>
  <c r="AL48"/>
  <c r="AK48"/>
  <c r="AJ48"/>
  <c r="AI48"/>
  <c r="AH48"/>
  <c r="AG48"/>
  <c r="AF48"/>
  <c r="AE48"/>
  <c r="AD48"/>
  <c r="AC48"/>
  <c r="N48"/>
  <c r="BL48" s="1"/>
  <c r="M48"/>
  <c r="L48"/>
  <c r="H48"/>
  <c r="BE48" s="1"/>
  <c r="BK47"/>
  <c r="AP47"/>
  <c r="AL47"/>
  <c r="AK47"/>
  <c r="AJ47"/>
  <c r="AI47"/>
  <c r="AH47"/>
  <c r="AG47"/>
  <c r="AF47"/>
  <c r="AE47"/>
  <c r="AD47"/>
  <c r="AC47"/>
  <c r="Q47"/>
  <c r="H47"/>
  <c r="BG47" s="1"/>
  <c r="BK46"/>
  <c r="BI46"/>
  <c r="BG46"/>
  <c r="AP46"/>
  <c r="AN46"/>
  <c r="AL46"/>
  <c r="AK46"/>
  <c r="AJ46"/>
  <c r="AI46"/>
  <c r="AH46"/>
  <c r="AG46"/>
  <c r="AF46"/>
  <c r="AE46"/>
  <c r="AD46"/>
  <c r="AC46"/>
  <c r="Q46"/>
  <c r="N46"/>
  <c r="M46"/>
  <c r="BM46" s="1"/>
  <c r="L46"/>
  <c r="BL46" s="1"/>
  <c r="H46"/>
  <c r="BE46" s="1"/>
  <c r="BK45"/>
  <c r="AT45"/>
  <c r="AT86" s="1"/>
  <c r="AT133" s="1"/>
  <c r="AP45"/>
  <c r="AL45"/>
  <c r="AK45"/>
  <c r="AJ45"/>
  <c r="AI45"/>
  <c r="AH45"/>
  <c r="AG45"/>
  <c r="AF45"/>
  <c r="AE45"/>
  <c r="AD45"/>
  <c r="AC45"/>
  <c r="Q45"/>
  <c r="H45"/>
  <c r="BG45" s="1"/>
  <c r="BK44"/>
  <c r="AP44"/>
  <c r="AL44"/>
  <c r="AK44"/>
  <c r="AJ44"/>
  <c r="AI44"/>
  <c r="AH44"/>
  <c r="AG44"/>
  <c r="AF44"/>
  <c r="AE44"/>
  <c r="AD44"/>
  <c r="AC44"/>
  <c r="H44"/>
  <c r="L44" s="1"/>
  <c r="BK43"/>
  <c r="BG43"/>
  <c r="BE43"/>
  <c r="AP43"/>
  <c r="AN43"/>
  <c r="AL43"/>
  <c r="AK43"/>
  <c r="AJ43"/>
  <c r="AI43"/>
  <c r="AH43"/>
  <c r="AG43"/>
  <c r="AF43"/>
  <c r="AE43"/>
  <c r="AD43"/>
  <c r="AC43"/>
  <c r="Q43"/>
  <c r="M43"/>
  <c r="L43"/>
  <c r="BL43" s="1"/>
  <c r="H43"/>
  <c r="N43" s="1"/>
  <c r="BK42"/>
  <c r="BG42"/>
  <c r="AP42"/>
  <c r="AL42"/>
  <c r="AK42"/>
  <c r="AJ42"/>
  <c r="AI42"/>
  <c r="AH42"/>
  <c r="AG42"/>
  <c r="AF42"/>
  <c r="AE42"/>
  <c r="AD42"/>
  <c r="AC42"/>
  <c r="Q42"/>
  <c r="N42"/>
  <c r="BL42" s="1"/>
  <c r="M42"/>
  <c r="L42"/>
  <c r="H42"/>
  <c r="BE42" s="1"/>
  <c r="BK41"/>
  <c r="BI41"/>
  <c r="BG41"/>
  <c r="BE41"/>
  <c r="AP41"/>
  <c r="AN41"/>
  <c r="AL41"/>
  <c r="AK41"/>
  <c r="AJ41"/>
  <c r="AI41"/>
  <c r="AH41"/>
  <c r="AG41"/>
  <c r="AF41"/>
  <c r="AE41"/>
  <c r="AD41"/>
  <c r="AC41"/>
  <c r="Q41"/>
  <c r="M41"/>
  <c r="L41"/>
  <c r="H41"/>
  <c r="N41" s="1"/>
  <c r="BK40"/>
  <c r="BG40"/>
  <c r="AP40"/>
  <c r="AL40"/>
  <c r="AK40"/>
  <c r="AJ40"/>
  <c r="AI40"/>
  <c r="AH40"/>
  <c r="AG40"/>
  <c r="AF40"/>
  <c r="AE40"/>
  <c r="AD40"/>
  <c r="AC40"/>
  <c r="R40"/>
  <c r="N40"/>
  <c r="BL40" s="1"/>
  <c r="M40"/>
  <c r="L40"/>
  <c r="BM40" s="1"/>
  <c r="H40"/>
  <c r="BE40" s="1"/>
  <c r="BK39"/>
  <c r="BE39"/>
  <c r="AP39"/>
  <c r="AN39"/>
  <c r="AL39"/>
  <c r="AK39"/>
  <c r="AJ39"/>
  <c r="AI39"/>
  <c r="AH39"/>
  <c r="AG39"/>
  <c r="AF39"/>
  <c r="AE39"/>
  <c r="AD39"/>
  <c r="AC39"/>
  <c r="Q39"/>
  <c r="L39"/>
  <c r="H39"/>
  <c r="BG39" s="1"/>
  <c r="BK38"/>
  <c r="AP38"/>
  <c r="AL38"/>
  <c r="AK38"/>
  <c r="AJ38"/>
  <c r="AI38"/>
  <c r="AH38"/>
  <c r="AG38"/>
  <c r="AF38"/>
  <c r="AE38"/>
  <c r="AD38"/>
  <c r="AC38"/>
  <c r="L38"/>
  <c r="H38"/>
  <c r="M38" s="1"/>
  <c r="BK37"/>
  <c r="AP37"/>
  <c r="AL37"/>
  <c r="AK37"/>
  <c r="AJ37"/>
  <c r="AI37"/>
  <c r="AH37"/>
  <c r="AG37"/>
  <c r="AF37"/>
  <c r="AE37"/>
  <c r="AD37"/>
  <c r="AC37"/>
  <c r="H37"/>
  <c r="L37" s="1"/>
  <c r="BK36"/>
  <c r="BG36"/>
  <c r="AP36"/>
  <c r="AL36"/>
  <c r="AK36"/>
  <c r="AJ36"/>
  <c r="AI36"/>
  <c r="AH36"/>
  <c r="AG36"/>
  <c r="AF36"/>
  <c r="AE36"/>
  <c r="AD36"/>
  <c r="AC36"/>
  <c r="Q36"/>
  <c r="L36"/>
  <c r="H36"/>
  <c r="M36" s="1"/>
  <c r="BK35"/>
  <c r="BG35"/>
  <c r="AP35"/>
  <c r="AL35"/>
  <c r="AK35"/>
  <c r="AJ35"/>
  <c r="AI35"/>
  <c r="AH35"/>
  <c r="AG35"/>
  <c r="AF35"/>
  <c r="AE35"/>
  <c r="AD35"/>
  <c r="AC35"/>
  <c r="P35"/>
  <c r="M35"/>
  <c r="L35"/>
  <c r="H35"/>
  <c r="N35" s="1"/>
  <c r="BK34"/>
  <c r="AV34"/>
  <c r="AP34"/>
  <c r="AN34"/>
  <c r="AL34"/>
  <c r="AK34"/>
  <c r="AJ34"/>
  <c r="AI34"/>
  <c r="AH34"/>
  <c r="AG34"/>
  <c r="AF34"/>
  <c r="AE34"/>
  <c r="AD34"/>
  <c r="AC34"/>
  <c r="R34"/>
  <c r="L34"/>
  <c r="H34"/>
  <c r="BE34" s="1"/>
  <c r="BK33"/>
  <c r="BG33"/>
  <c r="AP33"/>
  <c r="AL33"/>
  <c r="AK33"/>
  <c r="AJ33"/>
  <c r="AI33"/>
  <c r="AH33"/>
  <c r="AG33"/>
  <c r="AF33"/>
  <c r="AE33"/>
  <c r="AD33"/>
  <c r="AC33"/>
  <c r="P33"/>
  <c r="M33"/>
  <c r="L33"/>
  <c r="BL33" s="1"/>
  <c r="H33"/>
  <c r="N33" s="1"/>
  <c r="BK32"/>
  <c r="AP32"/>
  <c r="AL32"/>
  <c r="AK32"/>
  <c r="AJ32"/>
  <c r="AI32"/>
  <c r="AH32"/>
  <c r="AG32"/>
  <c r="AF32"/>
  <c r="AE32"/>
  <c r="AD32"/>
  <c r="AC32"/>
  <c r="M32"/>
  <c r="L32"/>
  <c r="H32"/>
  <c r="BE32" s="1"/>
  <c r="BK31"/>
  <c r="AP31"/>
  <c r="AL31"/>
  <c r="AK31"/>
  <c r="AJ31"/>
  <c r="AI31"/>
  <c r="AH31"/>
  <c r="AG31"/>
  <c r="AF31"/>
  <c r="AE31"/>
  <c r="AD31"/>
  <c r="AC31"/>
  <c r="L31"/>
  <c r="H31"/>
  <c r="M31" s="1"/>
  <c r="BK30"/>
  <c r="BG30"/>
  <c r="BE30"/>
  <c r="AP30"/>
  <c r="AN30"/>
  <c r="AL30"/>
  <c r="AK30"/>
  <c r="AJ30"/>
  <c r="AI30"/>
  <c r="AH30"/>
  <c r="AG30"/>
  <c r="AF30"/>
  <c r="AE30"/>
  <c r="AD30"/>
  <c r="AC30"/>
  <c r="P30"/>
  <c r="N30"/>
  <c r="M30"/>
  <c r="L30"/>
  <c r="BL30" s="1"/>
  <c r="H30"/>
  <c r="BK29"/>
  <c r="AP29"/>
  <c r="AL29"/>
  <c r="AK29"/>
  <c r="AJ29"/>
  <c r="AI29"/>
  <c r="AH29"/>
  <c r="AG29"/>
  <c r="AF29"/>
  <c r="AE29"/>
  <c r="AD29"/>
  <c r="AC29"/>
  <c r="P29"/>
  <c r="H29"/>
  <c r="BG29" s="1"/>
  <c r="BK28"/>
  <c r="BG28"/>
  <c r="BE28"/>
  <c r="AP28"/>
  <c r="AN28"/>
  <c r="AL28"/>
  <c r="AK28"/>
  <c r="AJ28"/>
  <c r="AI28"/>
  <c r="AH28"/>
  <c r="AG28"/>
  <c r="AF28"/>
  <c r="AE28"/>
  <c r="AD28"/>
  <c r="AC28"/>
  <c r="Q28"/>
  <c r="M28"/>
  <c r="L28"/>
  <c r="H28"/>
  <c r="N28" s="1"/>
  <c r="BK27"/>
  <c r="AP27"/>
  <c r="AL27"/>
  <c r="AK27"/>
  <c r="AJ27"/>
  <c r="AI27"/>
  <c r="AH27"/>
  <c r="AG27"/>
  <c r="AF27"/>
  <c r="AE27"/>
  <c r="AD27"/>
  <c r="AC27"/>
  <c r="L27"/>
  <c r="H27"/>
  <c r="M27" s="1"/>
  <c r="BK26"/>
  <c r="AP26"/>
  <c r="AL26"/>
  <c r="AK26"/>
  <c r="AJ26"/>
  <c r="AI26"/>
  <c r="AH26"/>
  <c r="AG26"/>
  <c r="AF26"/>
  <c r="AE26"/>
  <c r="AD26"/>
  <c r="AC26"/>
  <c r="L26"/>
  <c r="H26"/>
  <c r="M26" s="1"/>
  <c r="BK25"/>
  <c r="BG25"/>
  <c r="BE25"/>
  <c r="AP25"/>
  <c r="AN25"/>
  <c r="AL25"/>
  <c r="AK25"/>
  <c r="AJ25"/>
  <c r="AI25"/>
  <c r="AH25"/>
  <c r="AG25"/>
  <c r="AF25"/>
  <c r="AE25"/>
  <c r="AD25"/>
  <c r="AC25"/>
  <c r="Q25"/>
  <c r="N25"/>
  <c r="M25"/>
  <c r="L25"/>
  <c r="BL25" s="1"/>
  <c r="H25"/>
  <c r="BK24"/>
  <c r="AP24"/>
  <c r="AL24"/>
  <c r="AK24"/>
  <c r="AJ24"/>
  <c r="AI24"/>
  <c r="AH24"/>
  <c r="AG24"/>
  <c r="AF24"/>
  <c r="AE24"/>
  <c r="AD24"/>
  <c r="AC24"/>
  <c r="R24"/>
  <c r="N24"/>
  <c r="M24"/>
  <c r="BL24" s="1"/>
  <c r="L24"/>
  <c r="H24"/>
  <c r="BG24" s="1"/>
  <c r="BK23"/>
  <c r="BI23"/>
  <c r="AP23"/>
  <c r="AN23"/>
  <c r="AL23"/>
  <c r="AK23"/>
  <c r="AJ23"/>
  <c r="AI23"/>
  <c r="AH23"/>
  <c r="AG23"/>
  <c r="AF23"/>
  <c r="AE23"/>
  <c r="AD23"/>
  <c r="AC23"/>
  <c r="H23"/>
  <c r="L23" s="1"/>
  <c r="BK22"/>
  <c r="BG22"/>
  <c r="BE22"/>
  <c r="AP22"/>
  <c r="AN22"/>
  <c r="AL22"/>
  <c r="AK22"/>
  <c r="AJ22"/>
  <c r="AI22"/>
  <c r="AH22"/>
  <c r="AG22"/>
  <c r="AF22"/>
  <c r="AE22"/>
  <c r="AD22"/>
  <c r="AC22"/>
  <c r="Q22"/>
  <c r="M22"/>
  <c r="L22"/>
  <c r="BL22" s="1"/>
  <c r="H22"/>
  <c r="N22" s="1"/>
  <c r="BK21"/>
  <c r="BG21"/>
  <c r="AP21"/>
  <c r="AL21"/>
  <c r="AK21"/>
  <c r="AJ21"/>
  <c r="AI21"/>
  <c r="AH21"/>
  <c r="AG21"/>
  <c r="AF21"/>
  <c r="AE21"/>
  <c r="AD21"/>
  <c r="AC21"/>
  <c r="Q21"/>
  <c r="Q86" s="1"/>
  <c r="Q133" s="1"/>
  <c r="N21"/>
  <c r="BL21" s="1"/>
  <c r="M21"/>
  <c r="L21"/>
  <c r="H21"/>
  <c r="BE21" s="1"/>
  <c r="BK20"/>
  <c r="BK86" s="1"/>
  <c r="BK133" s="1"/>
  <c r="BE20"/>
  <c r="AP20"/>
  <c r="AL20"/>
  <c r="AK20"/>
  <c r="AJ20"/>
  <c r="AI20"/>
  <c r="AH20"/>
  <c r="AG20"/>
  <c r="AF20"/>
  <c r="AE20"/>
  <c r="AD20"/>
  <c r="AC20"/>
  <c r="N20"/>
  <c r="M20"/>
  <c r="BL20" s="1"/>
  <c r="L20"/>
  <c r="H20"/>
  <c r="BG20" s="1"/>
  <c r="AP19"/>
  <c r="AN19"/>
  <c r="AL19"/>
  <c r="AK19"/>
  <c r="AJ19"/>
  <c r="AI19"/>
  <c r="AH19"/>
  <c r="AG19"/>
  <c r="AF19"/>
  <c r="AE19"/>
  <c r="AD19"/>
  <c r="AC19"/>
  <c r="P19"/>
  <c r="P86" s="1"/>
  <c r="P133" s="1"/>
  <c r="H19"/>
  <c r="BE19" s="1"/>
  <c r="BE18"/>
  <c r="AP18"/>
  <c r="AL18"/>
  <c r="AK18"/>
  <c r="AJ18"/>
  <c r="AI18"/>
  <c r="AH18"/>
  <c r="AG18"/>
  <c r="AF18"/>
  <c r="AE18"/>
  <c r="AD18"/>
  <c r="AC18"/>
  <c r="N18"/>
  <c r="M18"/>
  <c r="BM18" s="1"/>
  <c r="L18"/>
  <c r="BL18" s="1"/>
  <c r="H18"/>
  <c r="BG18" s="1"/>
  <c r="AP17"/>
  <c r="AN17"/>
  <c r="AN86" s="1"/>
  <c r="AN133" s="1"/>
  <c r="AL17"/>
  <c r="AK17"/>
  <c r="AJ17"/>
  <c r="AI17"/>
  <c r="AH17"/>
  <c r="AG17"/>
  <c r="AF17"/>
  <c r="AE17"/>
  <c r="AD17"/>
  <c r="AC17"/>
  <c r="R17"/>
  <c r="R86" s="1"/>
  <c r="R133" s="1"/>
  <c r="H17"/>
  <c r="BE17" s="1"/>
  <c r="BE16"/>
  <c r="AP16"/>
  <c r="AL16"/>
  <c r="AK16"/>
  <c r="AJ16"/>
  <c r="AI16"/>
  <c r="AH16"/>
  <c r="AG16"/>
  <c r="AF16"/>
  <c r="AE16"/>
  <c r="AD16"/>
  <c r="AC16"/>
  <c r="N16"/>
  <c r="M16"/>
  <c r="L16"/>
  <c r="BL16" s="1"/>
  <c r="H16"/>
  <c r="BG16" s="1"/>
  <c r="AP15"/>
  <c r="AL15"/>
  <c r="AK15"/>
  <c r="AJ15"/>
  <c r="AI15"/>
  <c r="AH15"/>
  <c r="AG15"/>
  <c r="AF15"/>
  <c r="AE15"/>
  <c r="AD15"/>
  <c r="AC15"/>
  <c r="M15"/>
  <c r="L15"/>
  <c r="H15"/>
  <c r="BE15" s="1"/>
  <c r="AP14"/>
  <c r="AL14"/>
  <c r="AK14"/>
  <c r="AJ14"/>
  <c r="AI14"/>
  <c r="AH14"/>
  <c r="AG14"/>
  <c r="AF14"/>
  <c r="AE14"/>
  <c r="AD14"/>
  <c r="AC14"/>
  <c r="L14"/>
  <c r="H14"/>
  <c r="M14" s="1"/>
  <c r="BG13"/>
  <c r="AV13"/>
  <c r="AV86" s="1"/>
  <c r="AV133" s="1"/>
  <c r="AP13"/>
  <c r="AL13"/>
  <c r="AK13"/>
  <c r="AJ13"/>
  <c r="AI13"/>
  <c r="AH13"/>
  <c r="AG13"/>
  <c r="AF13"/>
  <c r="AE13"/>
  <c r="AD13"/>
  <c r="AC13"/>
  <c r="L13"/>
  <c r="H13"/>
  <c r="M13" s="1"/>
  <c r="BI12"/>
  <c r="BI86" s="1"/>
  <c r="BI133" s="1"/>
  <c r="AP12"/>
  <c r="AP86" s="1"/>
  <c r="AP133" s="1"/>
  <c r="AL12"/>
  <c r="AL86" s="1"/>
  <c r="AL133" s="1"/>
  <c r="AK12"/>
  <c r="AK86" s="1"/>
  <c r="AK133" s="1"/>
  <c r="AJ12"/>
  <c r="AJ86" s="1"/>
  <c r="AJ133" s="1"/>
  <c r="AI12"/>
  <c r="AI86" s="1"/>
  <c r="AI133" s="1"/>
  <c r="AH12"/>
  <c r="AH86" s="1"/>
  <c r="AH133" s="1"/>
  <c r="AG12"/>
  <c r="AG86" s="1"/>
  <c r="AG133" s="1"/>
  <c r="AF12"/>
  <c r="AF86" s="1"/>
  <c r="AF133" s="1"/>
  <c r="AE12"/>
  <c r="AE86" s="1"/>
  <c r="AE133" s="1"/>
  <c r="AD12"/>
  <c r="AD86" s="1"/>
  <c r="AD133" s="1"/>
  <c r="AC12"/>
  <c r="AC86" s="1"/>
  <c r="AC133" s="1"/>
  <c r="L12"/>
  <c r="H12"/>
  <c r="H132" s="1"/>
  <c r="R27" i="2"/>
  <c r="M27"/>
  <c r="K27"/>
  <c r="J27"/>
  <c r="Q26"/>
  <c r="P26"/>
  <c r="O26"/>
  <c r="I26"/>
  <c r="S26" s="1"/>
  <c r="Q25"/>
  <c r="P25"/>
  <c r="I25"/>
  <c r="S25" s="1"/>
  <c r="Q24"/>
  <c r="P24"/>
  <c r="I24"/>
  <c r="S24" s="1"/>
  <c r="Q23"/>
  <c r="P23"/>
  <c r="I23"/>
  <c r="S23" s="1"/>
  <c r="Q22"/>
  <c r="P22"/>
  <c r="I22"/>
  <c r="S22" s="1"/>
  <c r="Q21"/>
  <c r="P21"/>
  <c r="I21"/>
  <c r="S21" s="1"/>
  <c r="Q20"/>
  <c r="P20"/>
  <c r="I20"/>
  <c r="S20" s="1"/>
  <c r="Q19"/>
  <c r="P19"/>
  <c r="I19"/>
  <c r="S19" s="1"/>
  <c r="Q18"/>
  <c r="P18"/>
  <c r="I18"/>
  <c r="S18" s="1"/>
  <c r="S17"/>
  <c r="Q17"/>
  <c r="P17"/>
  <c r="N17"/>
  <c r="I17"/>
  <c r="V17" s="1"/>
  <c r="V16"/>
  <c r="S16"/>
  <c r="Q16"/>
  <c r="P16"/>
  <c r="O16"/>
  <c r="N16"/>
  <c r="W16" s="1"/>
  <c r="I16"/>
  <c r="U15"/>
  <c r="Q15"/>
  <c r="P15"/>
  <c r="O15"/>
  <c r="I15"/>
  <c r="S15" s="1"/>
  <c r="Q14"/>
  <c r="P14"/>
  <c r="I14"/>
  <c r="S14" s="1"/>
  <c r="S13"/>
  <c r="Q13"/>
  <c r="P13"/>
  <c r="N13"/>
  <c r="I13"/>
  <c r="U13" s="1"/>
  <c r="T12"/>
  <c r="S12"/>
  <c r="Q12"/>
  <c r="P12"/>
  <c r="O12"/>
  <c r="N12"/>
  <c r="W12" s="1"/>
  <c r="I12"/>
  <c r="T11"/>
  <c r="Q11"/>
  <c r="P11"/>
  <c r="O11"/>
  <c r="I11"/>
  <c r="S11" s="1"/>
  <c r="Q10"/>
  <c r="Q27" s="1"/>
  <c r="P10"/>
  <c r="P27" s="1"/>
  <c r="I10"/>
  <c r="I27" s="1"/>
  <c r="BL68" i="3" l="1"/>
  <c r="BM68" s="1"/>
  <c r="BM16"/>
  <c r="BM21"/>
  <c r="BL41"/>
  <c r="BM42"/>
  <c r="BL49"/>
  <c r="BM103"/>
  <c r="BL105"/>
  <c r="BM105"/>
  <c r="BL110"/>
  <c r="BM110"/>
  <c r="BM82"/>
  <c r="BM87"/>
  <c r="BM129"/>
  <c r="BM24"/>
  <c r="BL97"/>
  <c r="BM97"/>
  <c r="BM20"/>
  <c r="BL28"/>
  <c r="BL35"/>
  <c r="BM41"/>
  <c r="BL52"/>
  <c r="BL56"/>
  <c r="BM128"/>
  <c r="BG44"/>
  <c r="BB63"/>
  <c r="BB78"/>
  <c r="AY92"/>
  <c r="BG12"/>
  <c r="BE13"/>
  <c r="BG14"/>
  <c r="N17"/>
  <c r="N19"/>
  <c r="BM22"/>
  <c r="N23"/>
  <c r="BG26"/>
  <c r="BM28"/>
  <c r="N29"/>
  <c r="BE36"/>
  <c r="N37"/>
  <c r="BG37"/>
  <c r="BG38"/>
  <c r="BM43"/>
  <c r="N44"/>
  <c r="BE44"/>
  <c r="N45"/>
  <c r="N47"/>
  <c r="N50"/>
  <c r="BG53"/>
  <c r="N54"/>
  <c r="BE54"/>
  <c r="N55"/>
  <c r="BG57"/>
  <c r="N60"/>
  <c r="N61"/>
  <c r="N63"/>
  <c r="N69"/>
  <c r="BG69"/>
  <c r="BG70"/>
  <c r="BB71"/>
  <c r="N72"/>
  <c r="BG75"/>
  <c r="BG76"/>
  <c r="BB77"/>
  <c r="N78"/>
  <c r="BM88"/>
  <c r="N89"/>
  <c r="AY89"/>
  <c r="AY132" s="1"/>
  <c r="AY133" s="1"/>
  <c r="N91"/>
  <c r="N92"/>
  <c r="N93"/>
  <c r="N98"/>
  <c r="BG98"/>
  <c r="N106"/>
  <c r="N107"/>
  <c r="BG107"/>
  <c r="N111"/>
  <c r="BG111"/>
  <c r="BG112"/>
  <c r="BG115"/>
  <c r="BB116"/>
  <c r="N117"/>
  <c r="BB119"/>
  <c r="N120"/>
  <c r="AY124"/>
  <c r="N125"/>
  <c r="N126"/>
  <c r="BG126"/>
  <c r="BG23"/>
  <c r="BE29"/>
  <c r="BE47"/>
  <c r="BE50"/>
  <c r="BB61"/>
  <c r="BG89"/>
  <c r="BG132" s="1"/>
  <c r="AY91"/>
  <c r="AY93"/>
  <c r="BG106"/>
  <c r="N12"/>
  <c r="BE12"/>
  <c r="N13"/>
  <c r="BL13" s="1"/>
  <c r="BM13" s="1"/>
  <c r="N14"/>
  <c r="BE14"/>
  <c r="BG15"/>
  <c r="M17"/>
  <c r="BG17"/>
  <c r="M19"/>
  <c r="BG19"/>
  <c r="M23"/>
  <c r="BL23" s="1"/>
  <c r="BM25"/>
  <c r="N26"/>
  <c r="BL26" s="1"/>
  <c r="BM26" s="1"/>
  <c r="BE26"/>
  <c r="N27"/>
  <c r="BM27" s="1"/>
  <c r="BG27"/>
  <c r="M29"/>
  <c r="BM30"/>
  <c r="N31"/>
  <c r="BG31"/>
  <c r="BG32"/>
  <c r="BE33"/>
  <c r="BM33" s="1"/>
  <c r="N34"/>
  <c r="BG34"/>
  <c r="BE35"/>
  <c r="BM35" s="1"/>
  <c r="N36"/>
  <c r="M37"/>
  <c r="N38"/>
  <c r="BL38" s="1"/>
  <c r="BE38"/>
  <c r="N39"/>
  <c r="M44"/>
  <c r="M45"/>
  <c r="M47"/>
  <c r="BG48"/>
  <c r="BM48" s="1"/>
  <c r="BE49"/>
  <c r="BM49" s="1"/>
  <c r="M50"/>
  <c r="BG51"/>
  <c r="BM51" s="1"/>
  <c r="BE52"/>
  <c r="BM52"/>
  <c r="N53"/>
  <c r="BE53"/>
  <c r="M54"/>
  <c r="M55"/>
  <c r="BG55"/>
  <c r="BB56"/>
  <c r="N57"/>
  <c r="BL57" s="1"/>
  <c r="BB57"/>
  <c r="N58"/>
  <c r="M60"/>
  <c r="BL60" s="1"/>
  <c r="M61"/>
  <c r="M63"/>
  <c r="BG64"/>
  <c r="BM64" s="1"/>
  <c r="BM65"/>
  <c r="N66"/>
  <c r="BM66" s="1"/>
  <c r="BG66"/>
  <c r="M69"/>
  <c r="N70"/>
  <c r="BL70" s="1"/>
  <c r="BB70"/>
  <c r="N71"/>
  <c r="M72"/>
  <c r="BG72"/>
  <c r="N73"/>
  <c r="BG73"/>
  <c r="BM74"/>
  <c r="N75"/>
  <c r="BL75" s="1"/>
  <c r="BB75"/>
  <c r="N76"/>
  <c r="BL76" s="1"/>
  <c r="BB76"/>
  <c r="N77"/>
  <c r="BL77" s="1"/>
  <c r="M78"/>
  <c r="L79"/>
  <c r="L80"/>
  <c r="L81"/>
  <c r="BG81"/>
  <c r="L83"/>
  <c r="BG83"/>
  <c r="BM84"/>
  <c r="N85"/>
  <c r="BG85"/>
  <c r="M89"/>
  <c r="BL89" s="1"/>
  <c r="N90"/>
  <c r="M91"/>
  <c r="M92"/>
  <c r="M93"/>
  <c r="L94"/>
  <c r="BG94"/>
  <c r="M98"/>
  <c r="BL98" s="1"/>
  <c r="N99"/>
  <c r="BG99"/>
  <c r="L101"/>
  <c r="L102"/>
  <c r="L104"/>
  <c r="M106"/>
  <c r="BL106" s="1"/>
  <c r="M107"/>
  <c r="N108"/>
  <c r="BL108" s="1"/>
  <c r="BG108"/>
  <c r="M111"/>
  <c r="BL111" s="1"/>
  <c r="N112"/>
  <c r="BL112" s="1"/>
  <c r="N113"/>
  <c r="BG113"/>
  <c r="BM114"/>
  <c r="N115"/>
  <c r="BL115" s="1"/>
  <c r="N116"/>
  <c r="BL116" s="1"/>
  <c r="M117"/>
  <c r="BG117"/>
  <c r="BB118"/>
  <c r="BM118" s="1"/>
  <c r="N119"/>
  <c r="M120"/>
  <c r="BG120"/>
  <c r="L122"/>
  <c r="BG122"/>
  <c r="BM123"/>
  <c r="N124"/>
  <c r="BL124" s="1"/>
  <c r="M125"/>
  <c r="M126"/>
  <c r="BL126" s="1"/>
  <c r="N127"/>
  <c r="BG127"/>
  <c r="L130"/>
  <c r="L131"/>
  <c r="BL27"/>
  <c r="BG54"/>
  <c r="BG60"/>
  <c r="BL66"/>
  <c r="BG125"/>
  <c r="M12"/>
  <c r="N15"/>
  <c r="BL15" s="1"/>
  <c r="L17"/>
  <c r="L19"/>
  <c r="L29"/>
  <c r="N32"/>
  <c r="BL32" s="1"/>
  <c r="M34"/>
  <c r="M39"/>
  <c r="BL39" s="1"/>
  <c r="L45"/>
  <c r="L47"/>
  <c r="L50"/>
  <c r="L55"/>
  <c r="M58"/>
  <c r="L61"/>
  <c r="L63"/>
  <c r="N67"/>
  <c r="L72"/>
  <c r="L78"/>
  <c r="M90"/>
  <c r="BL90" s="1"/>
  <c r="L91"/>
  <c r="L92"/>
  <c r="L93"/>
  <c r="N109"/>
  <c r="BL109" s="1"/>
  <c r="L117"/>
  <c r="L120"/>
  <c r="V27" i="2"/>
  <c r="O10"/>
  <c r="T10"/>
  <c r="T27" s="1"/>
  <c r="N11"/>
  <c r="X12"/>
  <c r="O14"/>
  <c r="U14"/>
  <c r="N15"/>
  <c r="X16"/>
  <c r="O18"/>
  <c r="O19"/>
  <c r="O20"/>
  <c r="O21"/>
  <c r="O22"/>
  <c r="O23"/>
  <c r="O24"/>
  <c r="O25"/>
  <c r="U25"/>
  <c r="U27" s="1"/>
  <c r="N26"/>
  <c r="N10"/>
  <c r="S10"/>
  <c r="S27" s="1"/>
  <c r="O13"/>
  <c r="N14"/>
  <c r="O17"/>
  <c r="N18"/>
  <c r="N19"/>
  <c r="N20"/>
  <c r="N21"/>
  <c r="N22"/>
  <c r="N23"/>
  <c r="N24"/>
  <c r="N25"/>
  <c r="BM93" i="3" l="1"/>
  <c r="BL93"/>
  <c r="BM78"/>
  <c r="BL78"/>
  <c r="BM61"/>
  <c r="BL61"/>
  <c r="BL47"/>
  <c r="BM47" s="1"/>
  <c r="BM104"/>
  <c r="BL104"/>
  <c r="BM80"/>
  <c r="BL80"/>
  <c r="BM115"/>
  <c r="BM76"/>
  <c r="BM70"/>
  <c r="BM57"/>
  <c r="BB86"/>
  <c r="BM38"/>
  <c r="BL73"/>
  <c r="BM73" s="1"/>
  <c r="BM116"/>
  <c r="N132"/>
  <c r="BM77"/>
  <c r="BL113"/>
  <c r="BM113" s="1"/>
  <c r="BM39"/>
  <c r="BM126"/>
  <c r="BM98"/>
  <c r="BM60"/>
  <c r="BM109"/>
  <c r="BL36"/>
  <c r="BM36" s="1"/>
  <c r="BM108"/>
  <c r="BM111"/>
  <c r="BM106"/>
  <c r="BM89"/>
  <c r="BL69"/>
  <c r="BM69" s="1"/>
  <c r="BL54"/>
  <c r="BM54" s="1"/>
  <c r="BM23"/>
  <c r="BM63"/>
  <c r="BL63"/>
  <c r="BL50"/>
  <c r="BM50" s="1"/>
  <c r="BM17"/>
  <c r="BL17"/>
  <c r="BL130"/>
  <c r="BM130"/>
  <c r="BM122"/>
  <c r="BL122"/>
  <c r="BL94"/>
  <c r="BM94" s="1"/>
  <c r="BM81"/>
  <c r="BL81"/>
  <c r="BL85"/>
  <c r="BM85" s="1"/>
  <c r="BL34"/>
  <c r="BM34" s="1"/>
  <c r="BM75"/>
  <c r="BM56"/>
  <c r="BL127"/>
  <c r="BM127" s="1"/>
  <c r="BL14"/>
  <c r="BM14" s="1"/>
  <c r="BL107"/>
  <c r="BM107" s="1"/>
  <c r="BL37"/>
  <c r="BM37" s="1"/>
  <c r="BL53"/>
  <c r="BM53" s="1"/>
  <c r="BM15"/>
  <c r="BL125"/>
  <c r="BM125" s="1"/>
  <c r="BL71"/>
  <c r="BM71" s="1"/>
  <c r="BM32"/>
  <c r="BL117"/>
  <c r="BM117" s="1"/>
  <c r="BL91"/>
  <c r="BL132" s="1"/>
  <c r="BM91"/>
  <c r="BL55"/>
  <c r="BM55" s="1"/>
  <c r="BL19"/>
  <c r="BM19"/>
  <c r="BL131"/>
  <c r="BM131"/>
  <c r="BL101"/>
  <c r="BM101" s="1"/>
  <c r="N86"/>
  <c r="N133" s="1"/>
  <c r="M132"/>
  <c r="BM124"/>
  <c r="BM90"/>
  <c r="L86"/>
  <c r="BG86"/>
  <c r="BG133" s="1"/>
  <c r="BL31"/>
  <c r="BM31" s="1"/>
  <c r="BL119"/>
  <c r="BM119" s="1"/>
  <c r="BL44"/>
  <c r="BM44" s="1"/>
  <c r="BL120"/>
  <c r="BM120" s="1"/>
  <c r="BL92"/>
  <c r="BM92"/>
  <c r="BL72"/>
  <c r="BM72"/>
  <c r="BL45"/>
  <c r="BM45"/>
  <c r="BL29"/>
  <c r="BM29" s="1"/>
  <c r="BL102"/>
  <c r="BM102" s="1"/>
  <c r="BL83"/>
  <c r="BM83" s="1"/>
  <c r="BL79"/>
  <c r="BM79" s="1"/>
  <c r="M86"/>
  <c r="L132"/>
  <c r="BM112"/>
  <c r="BE86"/>
  <c r="BE133" s="1"/>
  <c r="BB132"/>
  <c r="BL58"/>
  <c r="BM58" s="1"/>
  <c r="BL99"/>
  <c r="BM99" s="1"/>
  <c r="BL67"/>
  <c r="BM67" s="1"/>
  <c r="BL12"/>
  <c r="BM12" s="1"/>
  <c r="BM86" s="1"/>
  <c r="X25" i="2"/>
  <c r="W25"/>
  <c r="W21"/>
  <c r="X21" s="1"/>
  <c r="N27"/>
  <c r="W10"/>
  <c r="X10"/>
  <c r="W13"/>
  <c r="X13" s="1"/>
  <c r="O27"/>
  <c r="W22"/>
  <c r="X22"/>
  <c r="X18"/>
  <c r="W18"/>
  <c r="W17"/>
  <c r="X17" s="1"/>
  <c r="W23"/>
  <c r="X23" s="1"/>
  <c r="X19"/>
  <c r="W19"/>
  <c r="X11"/>
  <c r="W11"/>
  <c r="W24"/>
  <c r="X24" s="1"/>
  <c r="W20"/>
  <c r="X20" s="1"/>
  <c r="W14"/>
  <c r="X14" s="1"/>
  <c r="X26"/>
  <c r="W26"/>
  <c r="X15"/>
  <c r="W15"/>
  <c r="BM132" i="3" l="1"/>
  <c r="BM133" s="1"/>
  <c r="L133"/>
  <c r="BB133"/>
  <c r="BL86"/>
  <c r="BL133" s="1"/>
  <c r="M133"/>
  <c r="X27" i="2"/>
  <c r="W27"/>
  <c r="V139" i="1" l="1"/>
  <c r="U139"/>
  <c r="H138"/>
  <c r="T137"/>
  <c r="S137"/>
  <c r="R137"/>
  <c r="Q137"/>
  <c r="P137"/>
  <c r="O137"/>
  <c r="N137"/>
  <c r="M137"/>
  <c r="L137"/>
  <c r="K137"/>
  <c r="J137"/>
  <c r="I137"/>
  <c r="H137"/>
  <c r="H136"/>
  <c r="H135" s="1"/>
  <c r="T135"/>
  <c r="S135"/>
  <c r="R135"/>
  <c r="Q135"/>
  <c r="Q139" s="1"/>
  <c r="P135"/>
  <c r="O135"/>
  <c r="N135"/>
  <c r="M135"/>
  <c r="M139" s="1"/>
  <c r="L135"/>
  <c r="K135"/>
  <c r="J135"/>
  <c r="I135"/>
  <c r="I139" s="1"/>
  <c r="H134"/>
  <c r="H133"/>
  <c r="H132"/>
  <c r="H131"/>
  <c r="H130"/>
  <c r="H129"/>
  <c r="H128"/>
  <c r="H127"/>
  <c r="H126"/>
  <c r="H125"/>
  <c r="H124"/>
  <c r="H123"/>
  <c r="H121" s="1"/>
  <c r="H122"/>
  <c r="T121"/>
  <c r="S121"/>
  <c r="R121"/>
  <c r="Q121"/>
  <c r="P121"/>
  <c r="O121"/>
  <c r="N121"/>
  <c r="M121"/>
  <c r="L121"/>
  <c r="K121"/>
  <c r="J121"/>
  <c r="I121"/>
  <c r="H120"/>
  <c r="H119"/>
  <c r="H118"/>
  <c r="H117"/>
  <c r="T116"/>
  <c r="S116"/>
  <c r="R116"/>
  <c r="Q116"/>
  <c r="P116"/>
  <c r="O116"/>
  <c r="N116"/>
  <c r="M116"/>
  <c r="L116"/>
  <c r="K116"/>
  <c r="J116"/>
  <c r="I116"/>
  <c r="H116"/>
  <c r="H115"/>
  <c r="H114"/>
  <c r="H113"/>
  <c r="H112"/>
  <c r="H111"/>
  <c r="H110" s="1"/>
  <c r="T110"/>
  <c r="S110"/>
  <c r="R110"/>
  <c r="Q110"/>
  <c r="P110"/>
  <c r="O110"/>
  <c r="N110"/>
  <c r="M110"/>
  <c r="L110"/>
  <c r="K110"/>
  <c r="J110"/>
  <c r="I110"/>
  <c r="H109"/>
  <c r="H108"/>
  <c r="H107"/>
  <c r="H105" s="1"/>
  <c r="H106"/>
  <c r="T105"/>
  <c r="S105"/>
  <c r="R105"/>
  <c r="Q105"/>
  <c r="P105"/>
  <c r="O105"/>
  <c r="N105"/>
  <c r="M105"/>
  <c r="L105"/>
  <c r="K105"/>
  <c r="J105"/>
  <c r="I105"/>
  <c r="T104"/>
  <c r="S104"/>
  <c r="R104"/>
  <c r="Q104"/>
  <c r="P104"/>
  <c r="O104"/>
  <c r="N104"/>
  <c r="M104"/>
  <c r="L104"/>
  <c r="K104"/>
  <c r="J104"/>
  <c r="I104"/>
  <c r="H104"/>
  <c r="T103"/>
  <c r="S103"/>
  <c r="R103"/>
  <c r="Q103"/>
  <c r="P103"/>
  <c r="O103"/>
  <c r="N103"/>
  <c r="M103"/>
  <c r="L103"/>
  <c r="K103"/>
  <c r="J103"/>
  <c r="I103"/>
  <c r="H103" s="1"/>
  <c r="T102"/>
  <c r="S102"/>
  <c r="R102"/>
  <c r="Q102"/>
  <c r="P102"/>
  <c r="O102"/>
  <c r="N102"/>
  <c r="M102"/>
  <c r="L102"/>
  <c r="K102"/>
  <c r="J102"/>
  <c r="I102"/>
  <c r="H102" s="1"/>
  <c r="T101"/>
  <c r="S101"/>
  <c r="R101"/>
  <c r="R99" s="1"/>
  <c r="Q101"/>
  <c r="P101"/>
  <c r="O101"/>
  <c r="N101"/>
  <c r="N99" s="1"/>
  <c r="M101"/>
  <c r="L101"/>
  <c r="K101"/>
  <c r="J101"/>
  <c r="H101" s="1"/>
  <c r="I101"/>
  <c r="T100"/>
  <c r="T99" s="1"/>
  <c r="S100"/>
  <c r="S99" s="1"/>
  <c r="R100"/>
  <c r="Q100"/>
  <c r="P100"/>
  <c r="P99" s="1"/>
  <c r="O100"/>
  <c r="O99" s="1"/>
  <c r="N100"/>
  <c r="M100"/>
  <c r="L100"/>
  <c r="L99" s="1"/>
  <c r="K100"/>
  <c r="K99" s="1"/>
  <c r="J100"/>
  <c r="I100"/>
  <c r="H100"/>
  <c r="Q99"/>
  <c r="M99"/>
  <c r="I99"/>
  <c r="H68"/>
  <c r="H67" s="1"/>
  <c r="T67"/>
  <c r="S67"/>
  <c r="R67"/>
  <c r="R69" s="1"/>
  <c r="Q67"/>
  <c r="Q69" s="1"/>
  <c r="P67"/>
  <c r="O67"/>
  <c r="N67"/>
  <c r="N69" s="1"/>
  <c r="M67"/>
  <c r="M69" s="1"/>
  <c r="L67"/>
  <c r="K67"/>
  <c r="J67"/>
  <c r="J69" s="1"/>
  <c r="I67"/>
  <c r="I69" s="1"/>
  <c r="H66"/>
  <c r="T65"/>
  <c r="S65"/>
  <c r="R65"/>
  <c r="Q65"/>
  <c r="P65"/>
  <c r="O65"/>
  <c r="N65"/>
  <c r="M65"/>
  <c r="L65"/>
  <c r="K65"/>
  <c r="J65"/>
  <c r="I65"/>
  <c r="H65"/>
  <c r="H64"/>
  <c r="H63"/>
  <c r="H62"/>
  <c r="H61"/>
  <c r="H60"/>
  <c r="V59"/>
  <c r="U59"/>
  <c r="H59"/>
  <c r="H58"/>
  <c r="H57"/>
  <c r="H56"/>
  <c r="V55"/>
  <c r="U55"/>
  <c r="H55"/>
  <c r="H54"/>
  <c r="H53"/>
  <c r="H52"/>
  <c r="H51" s="1"/>
  <c r="T51"/>
  <c r="S51"/>
  <c r="R51"/>
  <c r="Q51"/>
  <c r="P51"/>
  <c r="O51"/>
  <c r="N51"/>
  <c r="M51"/>
  <c r="L51"/>
  <c r="K51"/>
  <c r="J51"/>
  <c r="I51"/>
  <c r="H50"/>
  <c r="H49"/>
  <c r="H48"/>
  <c r="H46" s="1"/>
  <c r="H47"/>
  <c r="T46"/>
  <c r="S46"/>
  <c r="R46"/>
  <c r="Q46"/>
  <c r="P46"/>
  <c r="O46"/>
  <c r="N46"/>
  <c r="M46"/>
  <c r="L46"/>
  <c r="K46"/>
  <c r="J46"/>
  <c r="I46"/>
  <c r="H45"/>
  <c r="H44"/>
  <c r="H43"/>
  <c r="H42"/>
  <c r="H41"/>
  <c r="T40"/>
  <c r="S40"/>
  <c r="R40"/>
  <c r="Q40"/>
  <c r="P40"/>
  <c r="O40"/>
  <c r="N40"/>
  <c r="M40"/>
  <c r="L40"/>
  <c r="K40"/>
  <c r="J40"/>
  <c r="I40"/>
  <c r="H40"/>
  <c r="H39"/>
  <c r="V38"/>
  <c r="U38"/>
  <c r="H38"/>
  <c r="V37"/>
  <c r="U37"/>
  <c r="H37"/>
  <c r="H36"/>
  <c r="H35" s="1"/>
  <c r="T35"/>
  <c r="S35"/>
  <c r="R35"/>
  <c r="Q35"/>
  <c r="P35"/>
  <c r="O35"/>
  <c r="N35"/>
  <c r="M35"/>
  <c r="L35"/>
  <c r="K35"/>
  <c r="J35"/>
  <c r="I35"/>
  <c r="V34"/>
  <c r="U34"/>
  <c r="T34"/>
  <c r="S34"/>
  <c r="R34"/>
  <c r="Q34"/>
  <c r="P34"/>
  <c r="O34"/>
  <c r="N34"/>
  <c r="M34"/>
  <c r="L34"/>
  <c r="K34"/>
  <c r="J34"/>
  <c r="I34"/>
  <c r="H34" s="1"/>
  <c r="V33"/>
  <c r="U33"/>
  <c r="T33"/>
  <c r="S33"/>
  <c r="R33"/>
  <c r="Q33"/>
  <c r="P33"/>
  <c r="O33"/>
  <c r="N33"/>
  <c r="M33"/>
  <c r="L33"/>
  <c r="K33"/>
  <c r="J33"/>
  <c r="I33"/>
  <c r="H33"/>
  <c r="V32"/>
  <c r="U32"/>
  <c r="T32"/>
  <c r="S32"/>
  <c r="R32"/>
  <c r="Q32"/>
  <c r="P32"/>
  <c r="O32"/>
  <c r="N32"/>
  <c r="M32"/>
  <c r="L32"/>
  <c r="K32"/>
  <c r="J32"/>
  <c r="H32" s="1"/>
  <c r="I32"/>
  <c r="T31"/>
  <c r="S31"/>
  <c r="R31"/>
  <c r="Q31"/>
  <c r="P31"/>
  <c r="O31"/>
  <c r="N31"/>
  <c r="M31"/>
  <c r="L31"/>
  <c r="K31"/>
  <c r="J31"/>
  <c r="I31"/>
  <c r="H31"/>
  <c r="V30"/>
  <c r="U30"/>
  <c r="T30"/>
  <c r="T29" s="1"/>
  <c r="S30"/>
  <c r="S29" s="1"/>
  <c r="R30"/>
  <c r="Q30"/>
  <c r="P30"/>
  <c r="P29" s="1"/>
  <c r="O30"/>
  <c r="O29" s="1"/>
  <c r="N30"/>
  <c r="M30"/>
  <c r="L30"/>
  <c r="L29" s="1"/>
  <c r="K30"/>
  <c r="K29" s="1"/>
  <c r="J30"/>
  <c r="H30" s="1"/>
  <c r="I30"/>
  <c r="V29"/>
  <c r="V68" s="1"/>
  <c r="U29"/>
  <c r="U68" s="1"/>
  <c r="R29"/>
  <c r="Q29"/>
  <c r="N29"/>
  <c r="M29"/>
  <c r="J29"/>
  <c r="I29"/>
  <c r="H139" l="1"/>
  <c r="K139"/>
  <c r="O139"/>
  <c r="S139"/>
  <c r="H69"/>
  <c r="H99"/>
  <c r="L139"/>
  <c r="P139"/>
  <c r="J139"/>
  <c r="N139"/>
  <c r="R139"/>
  <c r="L69"/>
  <c r="P69"/>
  <c r="T69"/>
  <c r="H29"/>
  <c r="K69"/>
  <c r="O69"/>
  <c r="S69"/>
  <c r="T139"/>
  <c r="J99"/>
</calcChain>
</file>

<file path=xl/sharedStrings.xml><?xml version="1.0" encoding="utf-8"?>
<sst xmlns="http://schemas.openxmlformats.org/spreadsheetml/2006/main" count="1629" uniqueCount="729">
  <si>
    <t xml:space="preserve">                                                  </t>
  </si>
  <si>
    <t xml:space="preserve">  Бюджеттің атқарылуы және оған 
  кассалық қызмет көрсету    
  ережесіне 8-қосымша</t>
  </si>
  <si>
    <t xml:space="preserve">                          "Бекітемін"</t>
  </si>
  <si>
    <t>мекеме басшысы</t>
  </si>
  <si>
    <t xml:space="preserve">       ________________Г.Сансызбаева</t>
  </si>
  <si>
    <t xml:space="preserve">                                           "  " қыркүйек  2020  жыл</t>
  </si>
  <si>
    <t>Төлемдер бойынша бюджеттік бағдарламаларды
қаржыландыру жоспары</t>
  </si>
  <si>
    <t>Өңір _________3030  Сәтбаев қаласы</t>
  </si>
  <si>
    <t>Бюджеттің түрі___________ жергілікті</t>
  </si>
  <si>
    <r>
      <t>Кезең_</t>
    </r>
    <r>
      <rPr>
        <u/>
        <sz val="14"/>
        <rFont val="Times New Roman"/>
        <family val="1"/>
        <charset val="204"/>
      </rPr>
      <t>________</t>
    </r>
    <r>
      <rPr>
        <sz val="14"/>
        <rFont val="Times New Roman"/>
        <family val="1"/>
        <charset val="204"/>
      </rPr>
      <t>2021 жыл</t>
    </r>
  </si>
  <si>
    <t>Өлшем бірлігі _______ мың теңге</t>
  </si>
  <si>
    <t>Бюджеттік бағдарламалардың әкімшісі______________  Қарағанды облысының білім басқармасы "Сәтбаев қаласының білім бөлімі" ММ-сі</t>
  </si>
  <si>
    <t>Мемлекеттік мекеме ______________ "№1 мектеп-гимназиясы " КММ-сі</t>
  </si>
  <si>
    <t xml:space="preserve">  мың.теңге</t>
  </si>
  <si>
    <t>функционалдық топ</t>
  </si>
  <si>
    <t>әкімші</t>
  </si>
  <si>
    <t>бағдарлама</t>
  </si>
  <si>
    <t>кіші бағдарлама</t>
  </si>
  <si>
    <t>ерекшелік</t>
  </si>
  <si>
    <t>Шығыстардың атауы</t>
  </si>
  <si>
    <t>Бір жылға арналған қаржылық жоспар</t>
  </si>
  <si>
    <t>Айлар бойынша жоспар</t>
  </si>
  <si>
    <t>қаңтар</t>
  </si>
  <si>
    <t xml:space="preserve">ақпан </t>
  </si>
  <si>
    <t xml:space="preserve">наурыз </t>
  </si>
  <si>
    <t>сәуір</t>
  </si>
  <si>
    <t>мамыр</t>
  </si>
  <si>
    <t>маусым</t>
  </si>
  <si>
    <t>шілде</t>
  </si>
  <si>
    <t>тамыз</t>
  </si>
  <si>
    <t>қыркүйек</t>
  </si>
  <si>
    <t>казан</t>
  </si>
  <si>
    <t>қараша</t>
  </si>
  <si>
    <t>желтоқсан</t>
  </si>
  <si>
    <t>Ауданның (облыстық маңызы бар қаланың) білім бөлімі</t>
  </si>
  <si>
    <t xml:space="preserve">«Сәтбаев қаласының білім   бөлімі» ММ-сі </t>
  </si>
  <si>
    <t>082</t>
  </si>
  <si>
    <t>Жалпы білім беру</t>
  </si>
  <si>
    <t>011</t>
  </si>
  <si>
    <t xml:space="preserve">Республикалық бюджеттен берілетін трансферттер есебiнен </t>
  </si>
  <si>
    <t>Еңбекке ақы  төлеу</t>
  </si>
  <si>
    <t>Өтемақы төлемдері</t>
  </si>
  <si>
    <t>Әлеуметтік салық</t>
  </si>
  <si>
    <t>Мемлекеттік әлеуметтік сақтандыру қорына әлеуметтік аударымдар</t>
  </si>
  <si>
    <t>Міндетті әлеуметтік медициналық сақтандыруға аударымдарды төлеуге арналған шығыстар</t>
  </si>
  <si>
    <t>категория</t>
  </si>
  <si>
    <t>Мемлекеттік орта білім беру ұйымдарының педагогтарына біліктілік санаты үшін қосымша ақы</t>
  </si>
  <si>
    <t>Мемлекеттік орта білім беру ұйымдары педагогтарының еңбекақысын ұлғайтуға</t>
  </si>
  <si>
    <t>физ культурники</t>
  </si>
  <si>
    <t>015</t>
  </si>
  <si>
    <t>Жергілікті бюджет қаражаты есебінен</t>
  </si>
  <si>
    <t>Мемлекеттiк әлеуметтiк сақтандыру қорына әлеуметтiк аударымдар</t>
  </si>
  <si>
    <t>Өзге де қорларды сатып алу</t>
  </si>
  <si>
    <t>Коммуналдық қызметтерге ақы төлеу</t>
  </si>
  <si>
    <t>Байланыс қызметтеріне ақы төлеу</t>
  </si>
  <si>
    <t>Көлiктiк қызмет көрсетулерге ақы төлеу</t>
  </si>
  <si>
    <t>Өзге де қызметтер мен жұмыстарға ақы төлеу</t>
  </si>
  <si>
    <t>Ел ішіндегі іссапарлар мен қызметтік сапарлар</t>
  </si>
  <si>
    <t>Жалпыға бiрдей мiндеттi орта бiлiм қорының шығындары</t>
  </si>
  <si>
    <t>Өзге де ағымдағы шығындар</t>
  </si>
  <si>
    <t>203</t>
  </si>
  <si>
    <t>Орта білім беру ұйымдарын жан басына шаққандағы қаржыландыруды сынақтан өткізуге</t>
  </si>
  <si>
    <t>Машиналар, жабдықтар, өндірістік және шаруашылық мүккамал құралдарын сатып алу</t>
  </si>
  <si>
    <t>067</t>
  </si>
  <si>
    <t>Ведомстволық бағыныстағы мемлекеттік мекемелер мен ұйымдардың күрделі шығыстары</t>
  </si>
  <si>
    <t>Барлығы</t>
  </si>
  <si>
    <t xml:space="preserve">Қаржыландыру жоспарын жасауға жауапты бюджеттік </t>
  </si>
  <si>
    <t xml:space="preserve">бағдарламалар әкімшісінің құрылымдық бөлімшесінің басшысы        </t>
  </si>
  <si>
    <t>____________</t>
  </si>
  <si>
    <t>Г.Нурмаганбетова</t>
  </si>
  <si>
    <t>Міндеттемелер бойынша бюджеттік бағдарламаларды
қаржыландыру жоспары</t>
  </si>
  <si>
    <t xml:space="preserve">                                           "  " қаңтар  2021  жыл</t>
  </si>
  <si>
    <t>КЕЛІСЕМІН</t>
  </si>
  <si>
    <t>БЕКІТЕМІН</t>
  </si>
  <si>
    <t>"Сәтбаев қаласының білім бөлімі"  ММ-</t>
  </si>
  <si>
    <t>"Сәтбаев қаласының №1 мектеп-гимназиясы"КММ директоры</t>
  </si>
  <si>
    <t>нің басшысы____________Б.Б.Акишбеков</t>
  </si>
  <si>
    <t>___________Г.Т.Иманбаева-Казбекова</t>
  </si>
  <si>
    <t>№1 мектеп-гимназиясының педагог кадрларының үйде оқытатың тарификациясы</t>
  </si>
  <si>
    <t>Қарағанды облысы Сәтбаев қаласы 1 қаңтар 2021 жыл</t>
  </si>
  <si>
    <t>№р/н</t>
  </si>
  <si>
    <t xml:space="preserve">Мұғалімнің </t>
  </si>
  <si>
    <t>білімі</t>
  </si>
  <si>
    <t>пед.өтілі</t>
  </si>
  <si>
    <t>пәні</t>
  </si>
  <si>
    <t>санаты</t>
  </si>
  <si>
    <t>блок</t>
  </si>
  <si>
    <t>Коэфицент</t>
  </si>
  <si>
    <t>Ставка</t>
  </si>
  <si>
    <t>үйде оқыту</t>
  </si>
  <si>
    <t>қосымша 40%</t>
  </si>
  <si>
    <t xml:space="preserve">енбеқ ақысы </t>
  </si>
  <si>
    <t xml:space="preserve">қосымша ақысы </t>
  </si>
  <si>
    <t>жаңартылған</t>
  </si>
  <si>
    <t>Зертеуші40%</t>
  </si>
  <si>
    <t>Сарапшы 35%</t>
  </si>
  <si>
    <t>Модератор 30%</t>
  </si>
  <si>
    <t>аты-жөні</t>
  </si>
  <si>
    <t>1--4</t>
  </si>
  <si>
    <t>5--9</t>
  </si>
  <si>
    <t>сағаты</t>
  </si>
  <si>
    <t>ақысы</t>
  </si>
  <si>
    <t>Байсалбаева Г.А</t>
  </si>
  <si>
    <t>жоғары</t>
  </si>
  <si>
    <t>35ж 11ай 26к</t>
  </si>
  <si>
    <t>матем</t>
  </si>
  <si>
    <t>В2-1</t>
  </si>
  <si>
    <t>Иоцус С.В</t>
  </si>
  <si>
    <t>24ж 11ай 21к</t>
  </si>
  <si>
    <t>орыс т</t>
  </si>
  <si>
    <t>Наймушина О.П</t>
  </si>
  <si>
    <t>16ж 5ай 19к</t>
  </si>
  <si>
    <t>тарих</t>
  </si>
  <si>
    <t>Исабекова К.К</t>
  </si>
  <si>
    <t>36ж 1ай 20к</t>
  </si>
  <si>
    <t>қаз тілі</t>
  </si>
  <si>
    <t>бірінші</t>
  </si>
  <si>
    <t>В2-2</t>
  </si>
  <si>
    <t>Касимова А.Б</t>
  </si>
  <si>
    <t>21ж 10ай 15к</t>
  </si>
  <si>
    <t>Достияр Г.Ж</t>
  </si>
  <si>
    <t>14ж 10ай 17к</t>
  </si>
  <si>
    <t>Бекбауова Г.С</t>
  </si>
  <si>
    <t>8ж 4ай 10к</t>
  </si>
  <si>
    <t>географ</t>
  </si>
  <si>
    <t>екінші</t>
  </si>
  <si>
    <t>В2-3</t>
  </si>
  <si>
    <t>Ткенова А.Г</t>
  </si>
  <si>
    <t>3ж 4ай 20к</t>
  </si>
  <si>
    <t>ағылш</t>
  </si>
  <si>
    <t>Елеусизова К.Ш</t>
  </si>
  <si>
    <t>37ж 3ай 11к</t>
  </si>
  <si>
    <t>биолог</t>
  </si>
  <si>
    <t>с/с</t>
  </si>
  <si>
    <t>В2-4</t>
  </si>
  <si>
    <t>0,5</t>
  </si>
  <si>
    <t>Вольман Т.О</t>
  </si>
  <si>
    <t>11ж 7ай 8к</t>
  </si>
  <si>
    <t>Мустафина А.М</t>
  </si>
  <si>
    <t>4ж 4ай</t>
  </si>
  <si>
    <t>бастауш</t>
  </si>
  <si>
    <t>Нұржанқызы Е</t>
  </si>
  <si>
    <t>3ж 4ай</t>
  </si>
  <si>
    <t>Базарбаева А.А</t>
  </si>
  <si>
    <t>2ж 4ай</t>
  </si>
  <si>
    <t>логопед</t>
  </si>
  <si>
    <t>Абишева А.Э</t>
  </si>
  <si>
    <t>1ж 4ай</t>
  </si>
  <si>
    <t>психолог</t>
  </si>
  <si>
    <t>Талан Л.С</t>
  </si>
  <si>
    <t>орта-арнау</t>
  </si>
  <si>
    <t>48ж 3ай 29к</t>
  </si>
  <si>
    <t>В4-1</t>
  </si>
  <si>
    <t>Баянбекова А</t>
  </si>
  <si>
    <t>13ж 3ай 14к</t>
  </si>
  <si>
    <t>В4-2</t>
  </si>
  <si>
    <t>Койшибаева А</t>
  </si>
  <si>
    <t>В4-4</t>
  </si>
  <si>
    <t xml:space="preserve">Мектеп басшысының орынбасары                                               </t>
  </si>
  <si>
    <t>Г.Х.Шарипова</t>
  </si>
  <si>
    <t xml:space="preserve">Бас есепші                                                                                                 </t>
  </si>
  <si>
    <t>Г.П.Нурмагамбетова</t>
  </si>
  <si>
    <t xml:space="preserve">                                                                                                           БЕКІТЕМІН</t>
  </si>
  <si>
    <t>"Сәтбаев қаласының білім бөлімі" ММ-</t>
  </si>
  <si>
    <t xml:space="preserve">                                                                                                          "Сәтбаев қаласының № 1 мектеп-гимназиясы"КММ  директоры</t>
  </si>
  <si>
    <t xml:space="preserve">                                                                                                                                       Г.Т.Иманбаева-Казбекова</t>
  </si>
  <si>
    <t>№1 мектеп-гимназиясының педагог кадрларының  тарификациясы</t>
  </si>
  <si>
    <t>Қарағанды облысы Сәтбаев қаласы 1 қаңтар  2021 жыл</t>
  </si>
  <si>
    <t>Пед.өтілі жыл/ай/күні</t>
  </si>
  <si>
    <t>қызмет-</t>
  </si>
  <si>
    <t>ставка</t>
  </si>
  <si>
    <t xml:space="preserve">     апталық жүктеме</t>
  </si>
  <si>
    <t xml:space="preserve">              еңбеқ ақысы</t>
  </si>
  <si>
    <t>сынып</t>
  </si>
  <si>
    <t>сынып жетекшілік төлем ақысы</t>
  </si>
  <si>
    <t xml:space="preserve">                                                                                                         дәптер тексеру (сағат)</t>
  </si>
  <si>
    <t xml:space="preserve">                                                       дәптер тексеру төлем ақысы</t>
  </si>
  <si>
    <t>кабинет</t>
  </si>
  <si>
    <t>гимназиялық</t>
  </si>
  <si>
    <t>НИШ</t>
  </si>
  <si>
    <t>Магистра</t>
  </si>
  <si>
    <t>настав</t>
  </si>
  <si>
    <t>пед-модератор</t>
  </si>
  <si>
    <t>пед-сарапшы</t>
  </si>
  <si>
    <t>пед-зерттеуші</t>
  </si>
  <si>
    <t>үш тілдік</t>
  </si>
  <si>
    <t>инклюзия 40%</t>
  </si>
  <si>
    <t>төлем</t>
  </si>
  <si>
    <t xml:space="preserve">Жалақы  корытындысы </t>
  </si>
  <si>
    <t>тің</t>
  </si>
  <si>
    <t>1-4</t>
  </si>
  <si>
    <t>5-9</t>
  </si>
  <si>
    <t>10-11</t>
  </si>
  <si>
    <t>жетек</t>
  </si>
  <si>
    <t xml:space="preserve">           1-4 сын</t>
  </si>
  <si>
    <t xml:space="preserve">      5-9 сын</t>
  </si>
  <si>
    <t xml:space="preserve">      10-11 сын</t>
  </si>
  <si>
    <t xml:space="preserve">№ </t>
  </si>
  <si>
    <t xml:space="preserve">төлем </t>
  </si>
  <si>
    <t>сағат</t>
  </si>
  <si>
    <t>%</t>
  </si>
  <si>
    <t>саны</t>
  </si>
  <si>
    <t>ағылшын</t>
  </si>
  <si>
    <t>шілік</t>
  </si>
  <si>
    <t>беру</t>
  </si>
  <si>
    <t>Иманбаева Г.Т</t>
  </si>
  <si>
    <t>26ж 4ай</t>
  </si>
  <si>
    <t>химия</t>
  </si>
  <si>
    <t>Тлешова М.Р</t>
  </si>
  <si>
    <t>42ж 3ай 2к</t>
  </si>
  <si>
    <t>наставн</t>
  </si>
  <si>
    <t>Бейпилова К.Т</t>
  </si>
  <si>
    <t>39ж 3ай 12к</t>
  </si>
  <si>
    <t>математика</t>
  </si>
  <si>
    <t>Шарипова Г.Х</t>
  </si>
  <si>
    <t>38ж 5ай 4к</t>
  </si>
  <si>
    <t>Каменева Л.А</t>
  </si>
  <si>
    <t>37ж 4ай 29к</t>
  </si>
  <si>
    <t>Онгарбаева Г.С</t>
  </si>
  <si>
    <t>36ж 4ай 9к</t>
  </si>
  <si>
    <t>10ә50%</t>
  </si>
  <si>
    <t>№17</t>
  </si>
  <si>
    <t>Казбаева Г.Б</t>
  </si>
  <si>
    <t>36ж 3ай 25к</t>
  </si>
  <si>
    <t>Бадекова М.Р</t>
  </si>
  <si>
    <t>36ж 1ай 3к</t>
  </si>
  <si>
    <t>1а</t>
  </si>
  <si>
    <t>№4</t>
  </si>
  <si>
    <t>Акмолдаева Т.Ж</t>
  </si>
  <si>
    <t>35ж 4ай 4к</t>
  </si>
  <si>
    <t>6а</t>
  </si>
  <si>
    <t>Халиулина Н.А</t>
  </si>
  <si>
    <t>35ж 3ай 11к</t>
  </si>
  <si>
    <t>9а50%</t>
  </si>
  <si>
    <t>№11</t>
  </si>
  <si>
    <t>Беланова О.П</t>
  </si>
  <si>
    <t>35ж 1ай 22к</t>
  </si>
  <si>
    <t>№16</t>
  </si>
  <si>
    <t>өз.тану</t>
  </si>
  <si>
    <t>10а50%</t>
  </si>
  <si>
    <t>Казкенова А.А</t>
  </si>
  <si>
    <t>34ж 5ай</t>
  </si>
  <si>
    <t>еңбек</t>
  </si>
  <si>
    <t>8б</t>
  </si>
  <si>
    <t>№25а</t>
  </si>
  <si>
    <t>Кенбаев Е.Ж</t>
  </si>
  <si>
    <t>34ж 0ай 6к</t>
  </si>
  <si>
    <t>Малахова Л.И</t>
  </si>
  <si>
    <t>34ж 0ай 4к</t>
  </si>
  <si>
    <t>денеш</t>
  </si>
  <si>
    <t>Кульназарова Г.</t>
  </si>
  <si>
    <t>33ж 4ай</t>
  </si>
  <si>
    <t>ән-күй</t>
  </si>
  <si>
    <t>9а</t>
  </si>
  <si>
    <t>№25</t>
  </si>
  <si>
    <t>Турежанова У.С</t>
  </si>
  <si>
    <t>31ж 7ай 9к</t>
  </si>
  <si>
    <t>3а</t>
  </si>
  <si>
    <t>Бутова Е.В</t>
  </si>
  <si>
    <t>30ж 11ай 4к</t>
  </si>
  <si>
    <t>2а</t>
  </si>
  <si>
    <t>№5</t>
  </si>
  <si>
    <t>Мизанбаев Ш.Ш</t>
  </si>
  <si>
    <t>30ж 6ай 27к</t>
  </si>
  <si>
    <t>Тортаева Ж.К</t>
  </si>
  <si>
    <t>30ж 4ай 20к</t>
  </si>
  <si>
    <t>Кожахметова Б</t>
  </si>
  <si>
    <t>29ж 4ай 27к</t>
  </si>
  <si>
    <t>4а</t>
  </si>
  <si>
    <t>Кенжегозина С.Б</t>
  </si>
  <si>
    <t>29ж 4ай 8к</t>
  </si>
  <si>
    <t>10а</t>
  </si>
  <si>
    <t>№22</t>
  </si>
  <si>
    <t>Балгазина М.Р</t>
  </si>
  <si>
    <t>28ж 4ай 8к</t>
  </si>
  <si>
    <t>1ә</t>
  </si>
  <si>
    <t>Орынтаева Г.П</t>
  </si>
  <si>
    <t>28ж 1ай 20к</t>
  </si>
  <si>
    <t>9в</t>
  </si>
  <si>
    <t>Бойко С.А</t>
  </si>
  <si>
    <t>27ж 4ай 8к</t>
  </si>
  <si>
    <t>Беисова Л.А</t>
  </si>
  <si>
    <t>27ж 4ай 6к</t>
  </si>
  <si>
    <t>Аманова Г.М</t>
  </si>
  <si>
    <t>25ж 4ай 22к</t>
  </si>
  <si>
    <t>9б</t>
  </si>
  <si>
    <t>№13</t>
  </si>
  <si>
    <t>11а50%</t>
  </si>
  <si>
    <t>Ержан Г.Ә</t>
  </si>
  <si>
    <t>23ж 3ай 23к</t>
  </si>
  <si>
    <t>физика</t>
  </si>
  <si>
    <t>7ә</t>
  </si>
  <si>
    <t>№26</t>
  </si>
  <si>
    <t>Майгельдинова Г.К.</t>
  </si>
  <si>
    <t>22ж 3ай 22к</t>
  </si>
  <si>
    <t>6в</t>
  </si>
  <si>
    <t>Абдуселимова Г</t>
  </si>
  <si>
    <t>21ж 6ай 20к</t>
  </si>
  <si>
    <t>5а</t>
  </si>
  <si>
    <t>№19</t>
  </si>
  <si>
    <t>Алибекова С.К</t>
  </si>
  <si>
    <t>21ж 2ай 28к</t>
  </si>
  <si>
    <t>Максутова Э.М</t>
  </si>
  <si>
    <t>21ж 1ай 28к</t>
  </si>
  <si>
    <t>8а</t>
  </si>
  <si>
    <t>магистр</t>
  </si>
  <si>
    <t>Абодовская С.Ю</t>
  </si>
  <si>
    <t>20ж 9ай 23к</t>
  </si>
  <si>
    <t>информ</t>
  </si>
  <si>
    <t>7а</t>
  </si>
  <si>
    <t>№14</t>
  </si>
  <si>
    <t>Макажанова Р.Б</t>
  </si>
  <si>
    <t>19ж 1ай 6к</t>
  </si>
  <si>
    <t>Досанов М.Д</t>
  </si>
  <si>
    <t>18ж 4ай 10к</t>
  </si>
  <si>
    <t>Жакупова Г.Б</t>
  </si>
  <si>
    <t>18ж 3ай 8к</t>
  </si>
  <si>
    <t>№29</t>
  </si>
  <si>
    <t>Байдаулетова А</t>
  </si>
  <si>
    <t>17ж 4ай 1к</t>
  </si>
  <si>
    <t>19</t>
  </si>
  <si>
    <t>8</t>
  </si>
  <si>
    <t>25</t>
  </si>
  <si>
    <t>27</t>
  </si>
  <si>
    <t>Кожахметова А.А</t>
  </si>
  <si>
    <t>15ж 4ай 15к</t>
  </si>
  <si>
    <t>2б</t>
  </si>
  <si>
    <t>Турарова А.Н</t>
  </si>
  <si>
    <t>14ж 0ай 10к</t>
  </si>
  <si>
    <t>Әшірова Ұ.Б</t>
  </si>
  <si>
    <t>12ж 3ай</t>
  </si>
  <si>
    <t>Жунусова А.Б</t>
  </si>
  <si>
    <t>11ж 4ай</t>
  </si>
  <si>
    <t>№15</t>
  </si>
  <si>
    <t>10</t>
  </si>
  <si>
    <t>7б</t>
  </si>
  <si>
    <t>Жакупова Б</t>
  </si>
  <si>
    <t>29ж 8ай 15к</t>
  </si>
  <si>
    <t>Бекжанова Ж.К</t>
  </si>
  <si>
    <t>27ж 3ай 14к</t>
  </si>
  <si>
    <t>4б</t>
  </si>
  <si>
    <t>№2</t>
  </si>
  <si>
    <t>Жаманов Е.Т</t>
  </si>
  <si>
    <t>24ж 4ай 1к</t>
  </si>
  <si>
    <t>Есмаганбетова Р</t>
  </si>
  <si>
    <t>24ж 3ай 22к</t>
  </si>
  <si>
    <t>4</t>
  </si>
  <si>
    <t>20</t>
  </si>
  <si>
    <t>9ә</t>
  </si>
  <si>
    <t>3</t>
  </si>
  <si>
    <t>Амирова А</t>
  </si>
  <si>
    <t>21ж 2ай 27к</t>
  </si>
  <si>
    <t>1в</t>
  </si>
  <si>
    <t>Аширбекова Л.К</t>
  </si>
  <si>
    <t>20ж 5ай 7к</t>
  </si>
  <si>
    <t>11ә</t>
  </si>
  <si>
    <t>Абилкаирова О</t>
  </si>
  <si>
    <t>18ж 4ай 14к</t>
  </si>
  <si>
    <t>6б</t>
  </si>
  <si>
    <t>№20</t>
  </si>
  <si>
    <t>Ахметова М.Т</t>
  </si>
  <si>
    <t>18ж 4ай</t>
  </si>
  <si>
    <t>Иденова Г.Ш</t>
  </si>
  <si>
    <t>18ж 1ай 19к</t>
  </si>
  <si>
    <t>Какенова М.Г</t>
  </si>
  <si>
    <t>15ж 3ай 11к</t>
  </si>
  <si>
    <t>Бакарова А.Т</t>
  </si>
  <si>
    <t>14ж 3ай 19к</t>
  </si>
  <si>
    <t>1б</t>
  </si>
  <si>
    <t>№9</t>
  </si>
  <si>
    <t>11</t>
  </si>
  <si>
    <t>Дюсебекова Д</t>
  </si>
  <si>
    <t>Абышева А.С</t>
  </si>
  <si>
    <t>8ж 4ай 22к</t>
  </si>
  <si>
    <t>математ</t>
  </si>
  <si>
    <t>Исахова М.С</t>
  </si>
  <si>
    <t>8ж 4ай</t>
  </si>
  <si>
    <t>Шаркенова А</t>
  </si>
  <si>
    <t>7ж 4ай</t>
  </si>
  <si>
    <t>3ә</t>
  </si>
  <si>
    <t>Туримова Б</t>
  </si>
  <si>
    <t>6ж 4ай</t>
  </si>
  <si>
    <t>2ә</t>
  </si>
  <si>
    <t>Корабаева К.М</t>
  </si>
  <si>
    <t xml:space="preserve">37ж 4ай  </t>
  </si>
  <si>
    <t>Гирчак Е.В</t>
  </si>
  <si>
    <t>20ж 6ай 28к</t>
  </si>
  <si>
    <t>Шин О.А</t>
  </si>
  <si>
    <t>16ж 3ай 10к</t>
  </si>
  <si>
    <t>Абдигожина А.</t>
  </si>
  <si>
    <t>11ж 0ай 3к</t>
  </si>
  <si>
    <t>Альжанова Ж.Ж</t>
  </si>
  <si>
    <t>10ж 8ай</t>
  </si>
  <si>
    <t>2в</t>
  </si>
  <si>
    <t>41к</t>
  </si>
  <si>
    <t>17к</t>
  </si>
  <si>
    <t>Сыздыкова Ф.О</t>
  </si>
  <si>
    <t>№12</t>
  </si>
  <si>
    <t>Дудникова А.Ф</t>
  </si>
  <si>
    <t>6ж 7ай 21к</t>
  </si>
  <si>
    <t>Бөлтірік Ш</t>
  </si>
  <si>
    <t>6ә</t>
  </si>
  <si>
    <t>№10</t>
  </si>
  <si>
    <t>Жылкайдарова Г</t>
  </si>
  <si>
    <t xml:space="preserve">3ж 4ай </t>
  </si>
  <si>
    <t>5ә</t>
  </si>
  <si>
    <t>Алтанбаева А.С</t>
  </si>
  <si>
    <t>8ә</t>
  </si>
  <si>
    <t>Жолдыбай Г.Б</t>
  </si>
  <si>
    <t>Енбекова А.Ж</t>
  </si>
  <si>
    <t>5б</t>
  </si>
  <si>
    <t>Тойлыбаева А.Ж</t>
  </si>
  <si>
    <t>0ж 4ай</t>
  </si>
  <si>
    <t>Сагинтаева С.Ж</t>
  </si>
  <si>
    <t>43ж 4ай 12к</t>
  </si>
  <si>
    <t>Бектепбергенова з</t>
  </si>
  <si>
    <t>Аширова Н.Б</t>
  </si>
  <si>
    <t>17ж 2ай 29к</t>
  </si>
  <si>
    <t>Шермуханбет А</t>
  </si>
  <si>
    <t>Сарыпбекова Ж</t>
  </si>
  <si>
    <t>8ж 3ай 27к</t>
  </si>
  <si>
    <t>5в</t>
  </si>
  <si>
    <t>Кожахметова Г.Б</t>
  </si>
  <si>
    <t>6ж 10ай 17к</t>
  </si>
  <si>
    <t>Пауадинова Ф.А</t>
  </si>
  <si>
    <t xml:space="preserve">6ж 10ай  </t>
  </si>
  <si>
    <t>Мажинова М.Т</t>
  </si>
  <si>
    <t>5ж 3ай 14к</t>
  </si>
  <si>
    <t>4в</t>
  </si>
  <si>
    <t>Тобагулов Н.Б</t>
  </si>
  <si>
    <t>4ж 7ай 23к</t>
  </si>
  <si>
    <t>3б</t>
  </si>
  <si>
    <t>Асқап Г</t>
  </si>
  <si>
    <t>Смагулова Б.Т</t>
  </si>
  <si>
    <t>Аманжолов А.С</t>
  </si>
  <si>
    <t>Жолдыбай А.А</t>
  </si>
  <si>
    <t>Абильдинова Ж.Д.</t>
  </si>
  <si>
    <t>№1</t>
  </si>
  <si>
    <t>Тукаева Р.С</t>
  </si>
  <si>
    <t>37ж 9ай 3к</t>
  </si>
  <si>
    <t>Алиаскарова Ж</t>
  </si>
  <si>
    <t>19ж 4ай</t>
  </si>
  <si>
    <t>4г</t>
  </si>
  <si>
    <t>Тайгуленова Ф</t>
  </si>
  <si>
    <t>16ж 3ай 14к</t>
  </si>
  <si>
    <t>№6</t>
  </si>
  <si>
    <t>Мухамеджан К</t>
  </si>
  <si>
    <t>10ж 3ай 16к</t>
  </si>
  <si>
    <t>4ә</t>
  </si>
  <si>
    <t>Бектасова А.А</t>
  </si>
  <si>
    <t>8ж 4ай 15к</t>
  </si>
  <si>
    <t>В4-3</t>
  </si>
  <si>
    <t>2г</t>
  </si>
  <si>
    <t>Балмаганбетова М</t>
  </si>
  <si>
    <t>8ж 2ай 18к</t>
  </si>
  <si>
    <t>Дұйсенбай А.С</t>
  </si>
  <si>
    <t>6ж 2ай 20к</t>
  </si>
  <si>
    <t>Абдуахитова М</t>
  </si>
  <si>
    <t>3в</t>
  </si>
  <si>
    <t>Оразалина Б</t>
  </si>
  <si>
    <t>3г</t>
  </si>
  <si>
    <t>Максагина Л.А</t>
  </si>
  <si>
    <t>49ж 3ай 21к</t>
  </si>
  <si>
    <t>Қайырбек Қ.Қ</t>
  </si>
  <si>
    <t>вакансия</t>
  </si>
  <si>
    <t>32ж 9ай 6к</t>
  </si>
  <si>
    <t>29ж 3ай 27к</t>
  </si>
  <si>
    <t>28ж 1ай 8к</t>
  </si>
  <si>
    <t>22ж 7ай 23к</t>
  </si>
  <si>
    <t>20к</t>
  </si>
  <si>
    <t>4к</t>
  </si>
  <si>
    <t>БАРЛЫҒЫ</t>
  </si>
  <si>
    <t>61к</t>
  </si>
  <si>
    <t>21к</t>
  </si>
  <si>
    <t>**</t>
  </si>
  <si>
    <t>*</t>
  </si>
  <si>
    <t>Мектеп басшысының орынбасары                                                           Г.Х.Шарипова</t>
  </si>
  <si>
    <t>Бас есепші                                                                                             Г.П.Нурмагамбетова</t>
  </si>
  <si>
    <t>Бюджет на 2021 год</t>
  </si>
  <si>
    <t>АБП</t>
  </si>
  <si>
    <t>Программа</t>
  </si>
  <si>
    <t>Подпрограмма</t>
  </si>
  <si>
    <t>Специфика</t>
  </si>
  <si>
    <t>Наименование товаров</t>
  </si>
  <si>
    <t>ШГ № 1</t>
  </si>
  <si>
    <t/>
  </si>
  <si>
    <t>123</t>
  </si>
  <si>
    <t>Взносы на обязательное страхование</t>
  </si>
  <si>
    <t>144</t>
  </si>
  <si>
    <t>Приобретение топлива, горюче-смазочных материалов</t>
  </si>
  <si>
    <t>бензин</t>
  </si>
  <si>
    <t>уголь</t>
  </si>
  <si>
    <t>149</t>
  </si>
  <si>
    <t>Приобретение прочих запасов</t>
  </si>
  <si>
    <t>бумага</t>
  </si>
  <si>
    <t>катриджи</t>
  </si>
  <si>
    <t>канцтовары</t>
  </si>
  <si>
    <t>мел</t>
  </si>
  <si>
    <t>спорт товары</t>
  </si>
  <si>
    <t>стройматериалы</t>
  </si>
  <si>
    <t xml:space="preserve">постельные принадлежности </t>
  </si>
  <si>
    <t>грамоты</t>
  </si>
  <si>
    <t>матрацы,одеяло,подушки,полотенце спец.одежда</t>
  </si>
  <si>
    <t>хозяйственный материалы</t>
  </si>
  <si>
    <t>запчасти</t>
  </si>
  <si>
    <t>подписка</t>
  </si>
  <si>
    <t>моюшие средства</t>
  </si>
  <si>
    <t>дезинфицирующие средства</t>
  </si>
  <si>
    <t>151</t>
  </si>
  <si>
    <t>Оплата коммунальных услуг</t>
  </si>
  <si>
    <t>холодная вода</t>
  </si>
  <si>
    <t>канализация(3,8кубм*790тг*193)</t>
  </si>
  <si>
    <t>электроэнергия 951212,4 квт*20,62тг</t>
  </si>
  <si>
    <t>теплоэнергия</t>
  </si>
  <si>
    <t>152</t>
  </si>
  <si>
    <t>Оплата услуг связи</t>
  </si>
  <si>
    <t>абонплата 101шт*1064,48*12</t>
  </si>
  <si>
    <t>межгород, прочие</t>
  </si>
  <si>
    <t>ШПД  от 2 до 4 мгб/с</t>
  </si>
  <si>
    <t>ШПД от 4-8 мгб/с</t>
  </si>
  <si>
    <t>ШПД (волокно,радиомост)</t>
  </si>
  <si>
    <t>почтовый перевод</t>
  </si>
  <si>
    <t>оплата ШПД Астел</t>
  </si>
  <si>
    <t>159</t>
  </si>
  <si>
    <t>Оплата прочих услуг и работ</t>
  </si>
  <si>
    <t xml:space="preserve">обслуживание вычислительной техники </t>
  </si>
  <si>
    <t>заправка катриджей</t>
  </si>
  <si>
    <t>аттестаты</t>
  </si>
  <si>
    <t>сопровождение "Білім ал"</t>
  </si>
  <si>
    <t>сопровождение и тех поддержка С1</t>
  </si>
  <si>
    <t>медосмотр учителей</t>
  </si>
  <si>
    <t>обслуживание теплосчетчиков</t>
  </si>
  <si>
    <t>вывоз мусора</t>
  </si>
  <si>
    <t>установка и ремонт видеонаблюдения</t>
  </si>
  <si>
    <t>семинары,курсы</t>
  </si>
  <si>
    <t>услуги питания 5-ти дневки 1-4 кл</t>
  </si>
  <si>
    <t>ремонт и обслуживание противопожарной сигнализации</t>
  </si>
  <si>
    <t>заключения о готовности к отопительному сезону</t>
  </si>
  <si>
    <t>опрессовка и промывка отопительной системы</t>
  </si>
  <si>
    <t>дератизация</t>
  </si>
  <si>
    <t>лабораторные иследование/ производственный контроль</t>
  </si>
  <si>
    <t>доступ к образовательным цифровым ресурсам "BilimMediaGroup"</t>
  </si>
  <si>
    <t>изготовление фирменных бланков</t>
  </si>
  <si>
    <t>установка мониторинга интернет сайтов (интегро)</t>
  </si>
  <si>
    <t>банковские услуги</t>
  </si>
  <si>
    <t>огнезащитная обработка и пропитка деревянных конструкций чердачных помещений</t>
  </si>
  <si>
    <t>взнос за автодело ОШ № 16 г.Сатпаев</t>
  </si>
  <si>
    <t>изготовление свидетельство о подготовке водителей транспорта ОШ № 16 г.Сатпаев</t>
  </si>
  <si>
    <t>Обслуживание веб-сайт</t>
  </si>
  <si>
    <t>Обработка зеленных насождении</t>
  </si>
  <si>
    <t>Испытания внутреннего противопожарного водоснобжения (пожарных кранов)</t>
  </si>
  <si>
    <t>изготовление баннеров</t>
  </si>
  <si>
    <t>измерение тока</t>
  </si>
  <si>
    <t>стирка белья</t>
  </si>
  <si>
    <t>переименование школ</t>
  </si>
  <si>
    <t>изготовление вывески и гербовых печати, штамп</t>
  </si>
  <si>
    <t>услуги по подключению доступа на веб-сайт "SABAK.KZ"</t>
  </si>
  <si>
    <t>163</t>
  </si>
  <si>
    <t>Затраты Фонда всеобщего обязательного среднего образования</t>
  </si>
  <si>
    <t>горячее питание (350тг х 161 дни х 1256 детей)</t>
  </si>
  <si>
    <t>пришкольный лагерь (650тг х 18 дн х 1256 детей)</t>
  </si>
  <si>
    <t>загородные лагеря  (100 детей х 65000тг)</t>
  </si>
  <si>
    <t>приобретение одежды (856 детей х 43500тг)</t>
  </si>
  <si>
    <t>школьные принадлежности (1256 детей х 12900тг)</t>
  </si>
  <si>
    <t>169</t>
  </si>
  <si>
    <t>Прочие текущие затраты</t>
  </si>
  <si>
    <t>261</t>
  </si>
  <si>
    <t>Капитальные расходы подведомственных государственных учреждений и организаций</t>
  </si>
  <si>
    <t>414</t>
  </si>
  <si>
    <t>Приобретение машин, оборудования, инструментов, производственного и хозяйственного инвентаря</t>
  </si>
  <si>
    <t>Расшифровка</t>
  </si>
  <si>
    <t>IT кабинет</t>
  </si>
  <si>
    <t>Технология кабинет</t>
  </si>
  <si>
    <t>Кабинет Монтессоры</t>
  </si>
  <si>
    <t>Интерактивная доска</t>
  </si>
  <si>
    <t>МИНИ - ЦЕНТР</t>
  </si>
  <si>
    <t>Медикаменты</t>
  </si>
  <si>
    <t>Канцтовары</t>
  </si>
  <si>
    <t>СМС</t>
  </si>
  <si>
    <t>Игрушки</t>
  </si>
  <si>
    <t>Постельный набор</t>
  </si>
  <si>
    <t>Полотенце</t>
  </si>
  <si>
    <t>Подписка</t>
  </si>
  <si>
    <t>Посуда</t>
  </si>
  <si>
    <t>Спецодежда</t>
  </si>
  <si>
    <t>Фартук, косынка</t>
  </si>
  <si>
    <t>Лампа</t>
  </si>
  <si>
    <t>Подушки</t>
  </si>
  <si>
    <t>Строиматериалы</t>
  </si>
  <si>
    <t>Дидактичес.материал</t>
  </si>
  <si>
    <t>Стирка ковров</t>
  </si>
  <si>
    <t>Изготовление баннеров</t>
  </si>
  <si>
    <t>Услуги штукатур-маляра для проведение текущего ремонта</t>
  </si>
  <si>
    <t>Принтер</t>
  </si>
  <si>
    <t>Кулер</t>
  </si>
  <si>
    <t>Художествен.литература</t>
  </si>
  <si>
    <t xml:space="preserve">       ________________Г.Т.Иманбаева-Казбекова</t>
  </si>
  <si>
    <t xml:space="preserve"> Келісемін</t>
  </si>
  <si>
    <t xml:space="preserve">     "Бекітемін"</t>
  </si>
  <si>
    <t xml:space="preserve"> "Сәтбаев қаласының білім</t>
  </si>
  <si>
    <t>Штат саны 75,5  бірлік айлық еңбек</t>
  </si>
  <si>
    <t>бөлімі" ММ басшысы</t>
  </si>
  <si>
    <t xml:space="preserve">қоры 6 977 944 (Алты миллион  </t>
  </si>
  <si>
    <t>____________Б.Б.Акишбеков</t>
  </si>
  <si>
    <t>тоғыз жүз жетпіс жеті мың тоғыз жүз қырық төрт) теңге</t>
  </si>
  <si>
    <t>"Сәтбаев қаласының №1 мектеп-гимназиясы" КММ</t>
  </si>
  <si>
    <t>директоры</t>
  </si>
  <si>
    <t>___________ Иманбаева-Казбекова  Г.Т.</t>
  </si>
  <si>
    <t xml:space="preserve">             2021 жылдың 1 қаңтар</t>
  </si>
  <si>
    <t xml:space="preserve">"Сәтбаев қаласының №1 мектеп-гимназиясы" КММ бойынша </t>
  </si>
  <si>
    <t xml:space="preserve">                        ШТАТ     КЕСТЕСІ</t>
  </si>
  <si>
    <t xml:space="preserve">      Қазақстан Республикасы Үкіметінің 2008 ж. 30 қаңтардағы №77 "Педагогикалық қызметкерлер лауазымдар</t>
  </si>
  <si>
    <t xml:space="preserve">тізімі мен мемлекеттік білім беру ұйымдары қызметкерлерінің типтік штатын бекіту туралы" қаулысы, Қазақстан </t>
  </si>
  <si>
    <t>Республикасы Білім және ғылым министрінің 2016 жылғы 29 қаңтардағы №123 «Білім және ғылым саласындағы азаматтық</t>
  </si>
  <si>
    <t xml:space="preserve">қызметшілер лауазымдарының тізілімін  бекіту туралы"  бұйрығы,"Азаматтық қызметшілерге, мемлекеттік бюджет қаражпты </t>
  </si>
  <si>
    <t xml:space="preserve">есебіне ұйымдардың қызметкерлеріне,қазыналық қәсіпорындардың қызметкерлеріне еңбекақы төлеу туралы" </t>
  </si>
  <si>
    <t xml:space="preserve"> Қазақстан Республикасының Үкіметінің 2015 жылғы 31 желтоқсандағы №1193 қаулысы.</t>
  </si>
  <si>
    <t>Қазақстан Республикасы Үкіметінің 2018 жылғы 13 желтоқсандағы № 835 қаулысы, 2-қосымша-РК Үкіметінін 21.05.2019 №302 каулысы</t>
  </si>
  <si>
    <t>Қызмет атауы</t>
  </si>
  <si>
    <t>Бірлік</t>
  </si>
  <si>
    <t>Өтілі</t>
  </si>
  <si>
    <t>Блог</t>
  </si>
  <si>
    <t>Коэ</t>
  </si>
  <si>
    <t>Орташа</t>
  </si>
  <si>
    <t>Ұлғайту коэффициенті</t>
  </si>
  <si>
    <t>Еңбек</t>
  </si>
  <si>
    <t>Мереке.</t>
  </si>
  <si>
    <t>Басқа да қосулар</t>
  </si>
  <si>
    <t>Біліктілік санат үшін50%</t>
  </si>
  <si>
    <t>Біліктілік санат үшін30%</t>
  </si>
  <si>
    <t xml:space="preserve"> Барлық</t>
  </si>
  <si>
    <t>фиц.</t>
  </si>
  <si>
    <t>ақы қоры</t>
  </si>
  <si>
    <t>күнд</t>
  </si>
  <si>
    <t>еңбек ақы</t>
  </si>
  <si>
    <t>Директор</t>
  </si>
  <si>
    <t>26,4</t>
  </si>
  <si>
    <t>А1-3</t>
  </si>
  <si>
    <t>Бас бухгалтер</t>
  </si>
  <si>
    <t>14,8</t>
  </si>
  <si>
    <t>А2-3</t>
  </si>
  <si>
    <t>Шаруашылық меңгерушісі</t>
  </si>
  <si>
    <t>4,8</t>
  </si>
  <si>
    <t>Оқу ісінің директор орынбас.</t>
  </si>
  <si>
    <t>А1-3-1</t>
  </si>
  <si>
    <t>Кәсіби оқыту бойынша директор орынбасары</t>
  </si>
  <si>
    <t>27,4</t>
  </si>
  <si>
    <t>Тәрбие ісінің директор орынб.</t>
  </si>
  <si>
    <t>7,4</t>
  </si>
  <si>
    <t>0,4</t>
  </si>
  <si>
    <t>37,4</t>
  </si>
  <si>
    <t>11,0</t>
  </si>
  <si>
    <t>18,3</t>
  </si>
  <si>
    <t>21,2</t>
  </si>
  <si>
    <t>Дир.ақпарат. Ісі-жөнін.орынбас.</t>
  </si>
  <si>
    <t>8,4</t>
  </si>
  <si>
    <t>Жиыны басқарушы персонал</t>
  </si>
  <si>
    <t>АӘД ұйымдастырушы</t>
  </si>
  <si>
    <t>B2-1</t>
  </si>
  <si>
    <t>Педагог-психолог</t>
  </si>
  <si>
    <t>17,02</t>
  </si>
  <si>
    <t>B2-3</t>
  </si>
  <si>
    <t>1,4</t>
  </si>
  <si>
    <t>B2-4</t>
  </si>
  <si>
    <t>Әлеуметтік педагог</t>
  </si>
  <si>
    <t>18,4</t>
  </si>
  <si>
    <t>B3-4</t>
  </si>
  <si>
    <t>Логопед-ұстаз</t>
  </si>
  <si>
    <t>0,2</t>
  </si>
  <si>
    <t>2,4</t>
  </si>
  <si>
    <t>Ұзарт.күн тобын.тәрбиешісі</t>
  </si>
  <si>
    <t>B4-4</t>
  </si>
  <si>
    <t>8,1</t>
  </si>
  <si>
    <t>3,4</t>
  </si>
  <si>
    <t>9,3</t>
  </si>
  <si>
    <t>8,2</t>
  </si>
  <si>
    <t>6,4</t>
  </si>
  <si>
    <t>1,11</t>
  </si>
  <si>
    <t>Ұйымдастырушы-ұстаз</t>
  </si>
  <si>
    <t>B3-3</t>
  </si>
  <si>
    <t>Аға тәлімгер</t>
  </si>
  <si>
    <t>Жиыны негізгі персонал</t>
  </si>
  <si>
    <t>Кітапхана меңгерушісі</t>
  </si>
  <si>
    <t>2,0</t>
  </si>
  <si>
    <t>C1</t>
  </si>
  <si>
    <t>Кітапханашы</t>
  </si>
  <si>
    <t>5,8</t>
  </si>
  <si>
    <t>C3</t>
  </si>
  <si>
    <t>Зертханашы</t>
  </si>
  <si>
    <t>0</t>
  </si>
  <si>
    <t>С3</t>
  </si>
  <si>
    <t>15,6</t>
  </si>
  <si>
    <t>6,3</t>
  </si>
  <si>
    <t>С2</t>
  </si>
  <si>
    <t>9,11</t>
  </si>
  <si>
    <t>5,11</t>
  </si>
  <si>
    <t>10,3</t>
  </si>
  <si>
    <t>14,7</t>
  </si>
  <si>
    <t>9,5</t>
  </si>
  <si>
    <t>Құрал-жабдықтар жөнд. инж.</t>
  </si>
  <si>
    <t>5,4</t>
  </si>
  <si>
    <t>C2</t>
  </si>
  <si>
    <t>Менеджер</t>
  </si>
  <si>
    <t>3,0</t>
  </si>
  <si>
    <t>Аудармашы</t>
  </si>
  <si>
    <t>Шаруашылық  меңгерушісі</t>
  </si>
  <si>
    <t>3,2</t>
  </si>
  <si>
    <t>Бухгалтер</t>
  </si>
  <si>
    <t>10,10</t>
  </si>
  <si>
    <t>0,8</t>
  </si>
  <si>
    <t>Жиыны әкімшілік персонал</t>
  </si>
  <si>
    <t>Іс-жүргізуші</t>
  </si>
  <si>
    <t>10,5</t>
  </si>
  <si>
    <t>D</t>
  </si>
  <si>
    <t>Хатшы</t>
  </si>
  <si>
    <t>3,11</t>
  </si>
  <si>
    <t>Жиыны  қосалқы персонал</t>
  </si>
  <si>
    <t>Кіші мед. қызметкер</t>
  </si>
  <si>
    <t>Гардеробшы</t>
  </si>
  <si>
    <t>Күзетші</t>
  </si>
  <si>
    <t>Вахтер</t>
  </si>
  <si>
    <t>Дала сыпырушы</t>
  </si>
  <si>
    <t>Мекеме жуушы</t>
  </si>
  <si>
    <t>2,81</t>
  </si>
  <si>
    <t>Тоқ жөндеуші</t>
  </si>
  <si>
    <t>Жабдық жөндеу жұмыскер.</t>
  </si>
  <si>
    <t>Жиыны жұмыскерлер</t>
  </si>
  <si>
    <t>Нурмагамбетова Г.П.</t>
  </si>
  <si>
    <t>Абдуахитова Б.А.</t>
  </si>
</sst>
</file>

<file path=xl/styles.xml><?xml version="1.0" encoding="utf-8"?>
<styleSheet xmlns="http://schemas.openxmlformats.org/spreadsheetml/2006/main">
  <numFmts count="1">
    <numFmt numFmtId="164" formatCode="0.0"/>
  </numFmts>
  <fonts count="63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name val="Times New Roman"/>
      <family val="1"/>
      <charset val="204"/>
    </font>
    <font>
      <b/>
      <sz val="11"/>
      <color theme="1"/>
      <name val="Calibri"/>
      <family val="2"/>
      <scheme val="minor"/>
    </font>
    <font>
      <sz val="10"/>
      <name val="Arial Cyr"/>
      <charset val="204"/>
    </font>
    <font>
      <b/>
      <u/>
      <sz val="12"/>
      <name val="Times New Roman"/>
      <family val="1"/>
      <charset val="204"/>
    </font>
    <font>
      <u/>
      <sz val="12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6"/>
      <name val="Times New Roman"/>
      <family val="1"/>
      <charset val="204"/>
    </font>
    <font>
      <sz val="16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b/>
      <sz val="16"/>
      <name val="Times New Roman"/>
      <family val="1"/>
      <charset val="204"/>
    </font>
    <font>
      <u/>
      <sz val="16"/>
      <name val="Times New Roman"/>
      <family val="1"/>
      <charset val="204"/>
    </font>
    <font>
      <b/>
      <sz val="20"/>
      <name val="Times New Roman"/>
      <family val="1"/>
      <charset val="204"/>
    </font>
    <font>
      <b/>
      <u/>
      <sz val="14"/>
      <name val="Times New Roman"/>
      <family val="1"/>
      <charset val="204"/>
    </font>
    <font>
      <u/>
      <sz val="14"/>
      <name val="Times New Roman"/>
      <family val="1"/>
      <charset val="204"/>
    </font>
    <font>
      <sz val="12"/>
      <name val="KZ Times New Roman"/>
      <family val="1"/>
      <charset val="204"/>
    </font>
    <font>
      <b/>
      <sz val="14"/>
      <color rgb="FF000000"/>
      <name val="Times New Roman"/>
      <family val="1"/>
      <charset val="204"/>
    </font>
    <font>
      <b/>
      <sz val="14"/>
      <color indexed="9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17"/>
      <name val="Times New Roman"/>
      <family val="1"/>
      <charset val="204"/>
    </font>
    <font>
      <sz val="17"/>
      <color theme="1"/>
      <name val="Times New Roman"/>
      <family val="1"/>
      <charset val="204"/>
    </font>
    <font>
      <b/>
      <sz val="16"/>
      <color rgb="FFFF0000"/>
      <name val="Times New Roman"/>
      <family val="1"/>
      <charset val="204"/>
    </font>
    <font>
      <b/>
      <sz val="17"/>
      <name val="Times New Roman"/>
      <family val="1"/>
      <charset val="204"/>
    </font>
    <font>
      <b/>
      <sz val="22"/>
      <name val="Times New Roman"/>
      <family val="1"/>
      <charset val="204"/>
    </font>
    <font>
      <sz val="22"/>
      <name val="Times New Roman"/>
      <family val="1"/>
      <charset val="204"/>
    </font>
    <font>
      <b/>
      <sz val="18"/>
      <color theme="1"/>
      <name val="Times New Roman"/>
      <family val="1"/>
      <charset val="204"/>
    </font>
    <font>
      <sz val="22"/>
      <color theme="1"/>
      <name val="Times New Roman"/>
      <family val="1"/>
      <charset val="204"/>
    </font>
    <font>
      <sz val="22"/>
      <color rgb="FFFF0000"/>
      <name val="Times New Roman"/>
      <family val="1"/>
      <charset val="204"/>
    </font>
    <font>
      <b/>
      <sz val="22"/>
      <color theme="1"/>
      <name val="Times New Roman"/>
      <family val="1"/>
      <charset val="204"/>
    </font>
    <font>
      <sz val="7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72"/>
      <name val="Times New Roman"/>
      <family val="1"/>
      <charset val="204"/>
    </font>
    <font>
      <sz val="28"/>
      <color theme="1"/>
      <name val="Times New Roman"/>
      <family val="1"/>
      <charset val="204"/>
    </font>
    <font>
      <sz val="72"/>
      <color rgb="FFFF0000"/>
      <name val="Times New Roman"/>
      <family val="1"/>
      <charset val="204"/>
    </font>
    <font>
      <b/>
      <sz val="7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b/>
      <sz val="72"/>
      <name val="Times New Roman"/>
      <family val="1"/>
      <charset val="204"/>
    </font>
    <font>
      <sz val="16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b/>
      <sz val="10"/>
      <name val="Arial Cyr"/>
      <charset val="204"/>
    </font>
    <font>
      <sz val="9"/>
      <name val="Arial Cyr"/>
      <charset val="204"/>
    </font>
    <font>
      <b/>
      <sz val="8"/>
      <name val="Arial Cyr"/>
      <family val="2"/>
      <charset val="204"/>
    </font>
    <font>
      <b/>
      <sz val="9"/>
      <name val="Arial Cyr"/>
      <family val="2"/>
      <charset val="204"/>
    </font>
    <font>
      <sz val="8"/>
      <name val="Arial Cyr"/>
      <family val="2"/>
      <charset val="204"/>
    </font>
    <font>
      <sz val="9"/>
      <name val="Arial Cyr"/>
      <family val="2"/>
      <charset val="204"/>
    </font>
    <font>
      <b/>
      <sz val="9"/>
      <name val="Arial Cyr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sz val="10"/>
      <color indexed="52"/>
      <name val="Times New Roman"/>
      <family val="1"/>
      <charset val="204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9FF66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0.59999389629810485"/>
        <bgColor indexed="64"/>
      </patternFill>
    </fill>
  </fills>
  <borders count="3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5">
    <xf numFmtId="0" fontId="0" fillId="0" borderId="0"/>
    <xf numFmtId="9" fontId="1" fillId="0" borderId="0" applyFont="0" applyFill="0" applyBorder="0" applyAlignment="0" applyProtection="0"/>
    <xf numFmtId="0" fontId="4" fillId="0" borderId="0"/>
    <xf numFmtId="0" fontId="22" fillId="0" borderId="7">
      <alignment horizontal="left" vertical="top" wrapText="1"/>
    </xf>
    <xf numFmtId="0" fontId="22" fillId="0" borderId="7">
      <alignment horizontal="left" vertical="top" wrapText="1"/>
    </xf>
  </cellStyleXfs>
  <cellXfs count="466">
    <xf numFmtId="0" fontId="0" fillId="0" borderId="0" xfId="0"/>
    <xf numFmtId="0" fontId="2" fillId="0" borderId="0" xfId="0" applyFont="1" applyFill="1" applyAlignment="1">
      <alignment horizontal="center" vertical="center"/>
    </xf>
    <xf numFmtId="0" fontId="0" fillId="0" borderId="0" xfId="0" applyFill="1"/>
    <xf numFmtId="0" fontId="0" fillId="2" borderId="0" xfId="0" applyFill="1"/>
    <xf numFmtId="0" fontId="0" fillId="2" borderId="0" xfId="0" applyFont="1" applyFill="1"/>
    <xf numFmtId="0" fontId="3" fillId="0" borderId="0" xfId="0" applyFont="1"/>
    <xf numFmtId="1" fontId="5" fillId="0" borderId="0" xfId="2" applyNumberFormat="1" applyFont="1" applyFill="1" applyBorder="1" applyAlignment="1">
      <alignment horizontal="center" vertical="center"/>
    </xf>
    <xf numFmtId="1" fontId="6" fillId="0" borderId="0" xfId="2" applyNumberFormat="1" applyFont="1" applyFill="1" applyBorder="1"/>
    <xf numFmtId="0" fontId="7" fillId="0" borderId="0" xfId="0" applyFont="1" applyFill="1"/>
    <xf numFmtId="0" fontId="7" fillId="2" borderId="0" xfId="0" applyFont="1" applyFill="1"/>
    <xf numFmtId="0" fontId="7" fillId="0" borderId="0" xfId="0" applyFont="1" applyFill="1" applyAlignment="1">
      <alignment horizontal="left"/>
    </xf>
    <xf numFmtId="0" fontId="8" fillId="0" borderId="0" xfId="0" applyFont="1" applyFill="1" applyAlignment="1">
      <alignment horizontal="left" vertical="center" wrapText="1"/>
    </xf>
    <xf numFmtId="1" fontId="5" fillId="0" borderId="0" xfId="2" applyNumberFormat="1" applyFont="1" applyFill="1" applyBorder="1" applyAlignment="1">
      <alignment horizontal="left" vertical="center"/>
    </xf>
    <xf numFmtId="0" fontId="9" fillId="0" borderId="0" xfId="0" applyFont="1" applyFill="1"/>
    <xf numFmtId="0" fontId="9" fillId="2" borderId="0" xfId="0" applyFont="1" applyFill="1" applyAlignment="1">
      <alignment horizontal="left"/>
    </xf>
    <xf numFmtId="0" fontId="9" fillId="2" borderId="0" xfId="0" applyFont="1" applyFill="1"/>
    <xf numFmtId="0" fontId="8" fillId="2" borderId="0" xfId="0" applyFont="1" applyFill="1"/>
    <xf numFmtId="0" fontId="8" fillId="0" borderId="0" xfId="0" applyFont="1" applyFill="1" applyAlignment="1">
      <alignment horizontal="left"/>
    </xf>
    <xf numFmtId="0" fontId="8" fillId="0" borderId="0" xfId="0" applyFont="1" applyFill="1"/>
    <xf numFmtId="1" fontId="10" fillId="0" borderId="0" xfId="2" applyNumberFormat="1" applyFont="1" applyFill="1" applyBorder="1" applyAlignment="1">
      <alignment horizontal="left" vertical="center"/>
    </xf>
    <xf numFmtId="1" fontId="8" fillId="0" borderId="0" xfId="2" applyNumberFormat="1" applyFont="1" applyFill="1" applyBorder="1"/>
    <xf numFmtId="0" fontId="8" fillId="2" borderId="0" xfId="0" applyFont="1" applyFill="1" applyAlignment="1">
      <alignment horizontal="left"/>
    </xf>
    <xf numFmtId="0" fontId="0" fillId="0" borderId="0" xfId="0" applyFont="1" applyFill="1"/>
    <xf numFmtId="0" fontId="11" fillId="0" borderId="0" xfId="0" applyFont="1" applyFill="1" applyAlignment="1">
      <alignment horizontal="left" vertical="center" wrapText="1"/>
    </xf>
    <xf numFmtId="0" fontId="12" fillId="0" borderId="0" xfId="0" applyFont="1"/>
    <xf numFmtId="0" fontId="13" fillId="0" borderId="0" xfId="0" applyFont="1"/>
    <xf numFmtId="0" fontId="13" fillId="2" borderId="0" xfId="0" applyFont="1" applyFill="1"/>
    <xf numFmtId="0" fontId="13" fillId="0" borderId="0" xfId="0" applyFont="1" applyFill="1"/>
    <xf numFmtId="0" fontId="14" fillId="0" borderId="0" xfId="0" applyFont="1"/>
    <xf numFmtId="0" fontId="15" fillId="0" borderId="0" xfId="0" applyFont="1" applyFill="1" applyAlignment="1">
      <alignment horizontal="center" vertical="center"/>
    </xf>
    <xf numFmtId="0" fontId="16" fillId="0" borderId="0" xfId="0" applyFont="1" applyFill="1"/>
    <xf numFmtId="0" fontId="16" fillId="2" borderId="0" xfId="0" applyFont="1" applyFill="1"/>
    <xf numFmtId="0" fontId="15" fillId="0" borderId="0" xfId="0" applyFont="1" applyFill="1" applyAlignment="1">
      <alignment horizontal="left"/>
    </xf>
    <xf numFmtId="0" fontId="17" fillId="0" borderId="0" xfId="0" applyFont="1" applyFill="1" applyAlignment="1">
      <alignment horizontal="left"/>
    </xf>
    <xf numFmtId="0" fontId="17" fillId="2" borderId="0" xfId="0" applyFont="1" applyFill="1" applyAlignment="1">
      <alignment horizontal="left"/>
    </xf>
    <xf numFmtId="0" fontId="11" fillId="0" borderId="0" xfId="0" applyFont="1" applyFill="1" applyAlignment="1">
      <alignment horizontal="left"/>
    </xf>
    <xf numFmtId="0" fontId="11" fillId="2" borderId="0" xfId="0" applyFont="1" applyFill="1" applyAlignment="1">
      <alignment horizontal="left"/>
    </xf>
    <xf numFmtId="0" fontId="11" fillId="0" borderId="0" xfId="0" applyFont="1" applyFill="1"/>
    <xf numFmtId="0" fontId="11" fillId="0" borderId="0" xfId="0" applyFont="1" applyFill="1" applyAlignment="1">
      <alignment horizontal="center"/>
    </xf>
    <xf numFmtId="0" fontId="16" fillId="2" borderId="0" xfId="0" applyFont="1" applyFill="1" applyBorder="1"/>
    <xf numFmtId="0" fontId="15" fillId="0" borderId="0" xfId="0" applyFont="1" applyFill="1" applyBorder="1" applyAlignment="1">
      <alignment horizontal="left"/>
    </xf>
    <xf numFmtId="0" fontId="17" fillId="3" borderId="0" xfId="0" applyFont="1" applyFill="1" applyBorder="1" applyAlignment="1">
      <alignment horizontal="center"/>
    </xf>
    <xf numFmtId="0" fontId="18" fillId="3" borderId="0" xfId="0" applyFont="1" applyFill="1" applyBorder="1" applyAlignment="1">
      <alignment horizontal="left"/>
    </xf>
    <xf numFmtId="0" fontId="11" fillId="0" borderId="0" xfId="0" applyFont="1" applyFill="1" applyBorder="1"/>
    <xf numFmtId="0" fontId="19" fillId="0" borderId="0" xfId="0" applyFont="1" applyFill="1" applyAlignment="1">
      <alignment horizontal="center" vertical="center" wrapText="1"/>
    </xf>
    <xf numFmtId="0" fontId="16" fillId="0" borderId="0" xfId="0" applyFont="1" applyFill="1" applyAlignment="1">
      <alignment vertical="center"/>
    </xf>
    <xf numFmtId="1" fontId="20" fillId="2" borderId="0" xfId="2" applyNumberFormat="1" applyFont="1" applyFill="1" applyAlignment="1">
      <alignment horizontal="center" vertical="center" wrapText="1"/>
    </xf>
    <xf numFmtId="1" fontId="15" fillId="2" borderId="0" xfId="2" applyNumberFormat="1" applyFont="1" applyFill="1" applyAlignment="1">
      <alignment horizontal="center" vertical="center" wrapText="1"/>
    </xf>
    <xf numFmtId="1" fontId="20" fillId="0" borderId="0" xfId="2" applyNumberFormat="1" applyFont="1" applyFill="1" applyAlignment="1">
      <alignment horizontal="center" vertical="center" wrapText="1"/>
    </xf>
    <xf numFmtId="0" fontId="16" fillId="0" borderId="0" xfId="0" applyFont="1" applyFill="1" applyAlignment="1">
      <alignment horizontal="left" vertical="center"/>
    </xf>
    <xf numFmtId="0" fontId="16" fillId="0" borderId="0" xfId="0" applyFont="1" applyFill="1" applyBorder="1" applyAlignment="1">
      <alignment vertical="center"/>
    </xf>
    <xf numFmtId="1" fontId="16" fillId="0" borderId="0" xfId="2" applyNumberFormat="1" applyFont="1" applyFill="1" applyBorder="1" applyAlignment="1">
      <alignment horizontal="center"/>
    </xf>
    <xf numFmtId="1" fontId="16" fillId="2" borderId="0" xfId="2" applyNumberFormat="1" applyFont="1" applyFill="1" applyBorder="1" applyAlignment="1">
      <alignment horizontal="center"/>
    </xf>
    <xf numFmtId="1" fontId="15" fillId="0" borderId="0" xfId="2" applyNumberFormat="1" applyFont="1" applyFill="1" applyBorder="1" applyAlignment="1">
      <alignment horizontal="center"/>
    </xf>
    <xf numFmtId="1" fontId="15" fillId="0" borderId="1" xfId="2" applyNumberFormat="1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horizontal="center" vertical="top" wrapText="1"/>
    </xf>
    <xf numFmtId="0" fontId="15" fillId="0" borderId="2" xfId="0" applyFont="1" applyFill="1" applyBorder="1" applyAlignment="1">
      <alignment horizontal="center" vertical="center"/>
    </xf>
    <xf numFmtId="0" fontId="15" fillId="0" borderId="3" xfId="0" applyFont="1" applyFill="1" applyBorder="1" applyAlignment="1">
      <alignment horizontal="center" vertical="center"/>
    </xf>
    <xf numFmtId="0" fontId="15" fillId="0" borderId="4" xfId="0" applyFont="1" applyFill="1" applyBorder="1" applyAlignment="1">
      <alignment horizontal="center" vertical="center"/>
    </xf>
    <xf numFmtId="1" fontId="15" fillId="0" borderId="5" xfId="2" applyNumberFormat="1" applyFont="1" applyFill="1" applyBorder="1" applyAlignment="1">
      <alignment horizontal="center" vertical="center" wrapText="1"/>
    </xf>
    <xf numFmtId="0" fontId="15" fillId="0" borderId="5" xfId="0" applyFont="1" applyFill="1" applyBorder="1" applyAlignment="1">
      <alignment horizontal="center" vertical="center" wrapText="1"/>
    </xf>
    <xf numFmtId="0" fontId="15" fillId="0" borderId="5" xfId="0" applyFont="1" applyFill="1" applyBorder="1" applyAlignment="1">
      <alignment horizontal="center" vertical="center"/>
    </xf>
    <xf numFmtId="0" fontId="15" fillId="0" borderId="5" xfId="0" applyFont="1" applyFill="1" applyBorder="1" applyAlignment="1">
      <alignment horizontal="center" vertical="top" wrapText="1"/>
    </xf>
    <xf numFmtId="0" fontId="15" fillId="0" borderId="6" xfId="0" applyFont="1" applyFill="1" applyBorder="1" applyAlignment="1">
      <alignment horizontal="center" vertical="center" wrapText="1"/>
    </xf>
    <xf numFmtId="0" fontId="15" fillId="2" borderId="6" xfId="0" applyFont="1" applyFill="1" applyBorder="1" applyAlignment="1">
      <alignment horizontal="center" vertical="center" wrapText="1"/>
    </xf>
    <xf numFmtId="1" fontId="15" fillId="0" borderId="6" xfId="2" applyNumberFormat="1" applyFont="1" applyFill="1" applyBorder="1" applyAlignment="1">
      <alignment horizontal="center" vertical="center"/>
    </xf>
    <xf numFmtId="0" fontId="16" fillId="0" borderId="6" xfId="0" applyFont="1" applyFill="1" applyBorder="1" applyAlignment="1">
      <alignment horizontal="center" vertical="center"/>
    </xf>
    <xf numFmtId="0" fontId="15" fillId="0" borderId="6" xfId="0" applyFont="1" applyFill="1" applyBorder="1" applyAlignment="1">
      <alignment horizontal="left" vertical="center" wrapText="1"/>
    </xf>
    <xf numFmtId="3" fontId="15" fillId="0" borderId="2" xfId="0" applyNumberFormat="1" applyFont="1" applyFill="1" applyBorder="1" applyAlignment="1">
      <alignment horizontal="center" vertical="center" wrapText="1"/>
    </xf>
    <xf numFmtId="3" fontId="15" fillId="0" borderId="3" xfId="0" applyNumberFormat="1" applyFont="1" applyFill="1" applyBorder="1" applyAlignment="1">
      <alignment horizontal="center" vertical="center" wrapText="1"/>
    </xf>
    <xf numFmtId="3" fontId="15" fillId="0" borderId="4" xfId="0" applyNumberFormat="1" applyFont="1" applyFill="1" applyBorder="1" applyAlignment="1">
      <alignment horizontal="center" vertical="center" wrapText="1"/>
    </xf>
    <xf numFmtId="0" fontId="15" fillId="2" borderId="6" xfId="0" applyFont="1" applyFill="1" applyBorder="1" applyAlignment="1">
      <alignment horizontal="center" vertical="center"/>
    </xf>
    <xf numFmtId="0" fontId="16" fillId="2" borderId="6" xfId="0" applyFont="1" applyFill="1" applyBorder="1" applyAlignment="1">
      <alignment horizontal="center" vertical="center"/>
    </xf>
    <xf numFmtId="49" fontId="15" fillId="2" borderId="6" xfId="0" applyNumberFormat="1" applyFont="1" applyFill="1" applyBorder="1" applyAlignment="1">
      <alignment horizontal="center" vertical="center"/>
    </xf>
    <xf numFmtId="0" fontId="16" fillId="2" borderId="4" xfId="0" applyFont="1" applyFill="1" applyBorder="1" applyAlignment="1">
      <alignment horizontal="center" vertical="center"/>
    </xf>
    <xf numFmtId="0" fontId="15" fillId="3" borderId="6" xfId="3" applyNumberFormat="1" applyFont="1" applyFill="1" applyBorder="1" applyAlignment="1" applyProtection="1">
      <alignment horizontal="left" vertical="center" wrapText="1"/>
    </xf>
    <xf numFmtId="1" fontId="15" fillId="2" borderId="6" xfId="0" applyNumberFormat="1" applyFont="1" applyFill="1" applyBorder="1" applyAlignment="1">
      <alignment horizontal="center" vertical="center"/>
    </xf>
    <xf numFmtId="0" fontId="15" fillId="2" borderId="6" xfId="0" applyFont="1" applyFill="1" applyBorder="1" applyAlignment="1">
      <alignment horizontal="left" vertical="center" wrapText="1"/>
    </xf>
    <xf numFmtId="0" fontId="16" fillId="2" borderId="6" xfId="0" applyFont="1" applyFill="1" applyBorder="1" applyAlignment="1">
      <alignment horizontal="left" vertical="center" wrapText="1"/>
    </xf>
    <xf numFmtId="1" fontId="16" fillId="2" borderId="6" xfId="0" applyNumberFormat="1" applyFont="1" applyFill="1" applyBorder="1" applyAlignment="1">
      <alignment horizontal="center" vertical="center"/>
    </xf>
    <xf numFmtId="0" fontId="16" fillId="0" borderId="6" xfId="0" applyFont="1" applyFill="1" applyBorder="1" applyAlignment="1">
      <alignment horizontal="left" vertical="center" wrapText="1"/>
    </xf>
    <xf numFmtId="0" fontId="16" fillId="2" borderId="6" xfId="4" applyNumberFormat="1" applyFont="1" applyFill="1" applyBorder="1" applyAlignment="1" applyProtection="1">
      <alignment horizontal="left" vertical="center" wrapText="1"/>
    </xf>
    <xf numFmtId="49" fontId="15" fillId="0" borderId="6" xfId="0" applyNumberFormat="1" applyFont="1" applyFill="1" applyBorder="1" applyAlignment="1">
      <alignment horizontal="center" vertical="center"/>
    </xf>
    <xf numFmtId="0" fontId="16" fillId="0" borderId="4" xfId="0" applyFont="1" applyFill="1" applyBorder="1" applyAlignment="1">
      <alignment horizontal="center" vertical="center"/>
    </xf>
    <xf numFmtId="9" fontId="23" fillId="0" borderId="0" xfId="0" applyNumberFormat="1" applyFont="1" applyAlignment="1">
      <alignment wrapText="1"/>
    </xf>
    <xf numFmtId="1" fontId="15" fillId="0" borderId="6" xfId="0" applyNumberFormat="1" applyFont="1" applyFill="1" applyBorder="1" applyAlignment="1">
      <alignment horizontal="center" vertical="center"/>
    </xf>
    <xf numFmtId="0" fontId="15" fillId="0" borderId="6" xfId="0" applyFont="1" applyFill="1" applyBorder="1" applyAlignment="1">
      <alignment horizontal="center" vertical="center"/>
    </xf>
    <xf numFmtId="0" fontId="16" fillId="2" borderId="6" xfId="2" applyFont="1" applyFill="1" applyBorder="1" applyAlignment="1">
      <alignment horizontal="center" vertical="center" wrapText="1"/>
    </xf>
    <xf numFmtId="1" fontId="16" fillId="2" borderId="6" xfId="2" applyNumberFormat="1" applyFont="1" applyFill="1" applyBorder="1" applyAlignment="1">
      <alignment horizontal="center" vertical="center" wrapText="1"/>
    </xf>
    <xf numFmtId="9" fontId="15" fillId="0" borderId="6" xfId="0" applyNumberFormat="1" applyFont="1" applyFill="1" applyBorder="1" applyAlignment="1">
      <alignment horizontal="center" vertical="center"/>
    </xf>
    <xf numFmtId="1" fontId="16" fillId="0" borderId="6" xfId="0" applyNumberFormat="1" applyFont="1" applyFill="1" applyBorder="1" applyAlignment="1">
      <alignment horizontal="center" vertical="center"/>
    </xf>
    <xf numFmtId="1" fontId="16" fillId="0" borderId="6" xfId="2" applyNumberFormat="1" applyFont="1" applyFill="1" applyBorder="1" applyAlignment="1">
      <alignment horizontal="center" vertical="center" wrapText="1"/>
    </xf>
    <xf numFmtId="0" fontId="24" fillId="2" borderId="6" xfId="0" applyFont="1" applyFill="1" applyBorder="1" applyAlignment="1">
      <alignment horizontal="center" vertical="center"/>
    </xf>
    <xf numFmtId="0" fontId="24" fillId="0" borderId="6" xfId="0" applyFont="1" applyFill="1" applyBorder="1" applyAlignment="1">
      <alignment horizontal="center" vertical="center"/>
    </xf>
    <xf numFmtId="0" fontId="25" fillId="0" borderId="6" xfId="0" applyFont="1" applyFill="1" applyBorder="1" applyAlignment="1">
      <alignment horizontal="center" vertical="center"/>
    </xf>
    <xf numFmtId="0" fontId="16" fillId="0" borderId="6" xfId="4" applyNumberFormat="1" applyFont="1" applyFill="1" applyBorder="1" applyAlignment="1" applyProtection="1">
      <alignment horizontal="left" vertical="center" wrapText="1"/>
    </xf>
    <xf numFmtId="0" fontId="15" fillId="2" borderId="6" xfId="4" applyNumberFormat="1" applyFont="1" applyFill="1" applyBorder="1" applyAlignment="1" applyProtection="1">
      <alignment horizontal="left" vertical="center" wrapText="1"/>
    </xf>
    <xf numFmtId="3" fontId="15" fillId="0" borderId="6" xfId="0" applyNumberFormat="1" applyFont="1" applyFill="1" applyBorder="1" applyAlignment="1">
      <alignment horizontal="center" vertical="center" wrapText="1"/>
    </xf>
    <xf numFmtId="0" fontId="15" fillId="0" borderId="0" xfId="0" applyFont="1" applyFill="1" applyBorder="1" applyAlignment="1">
      <alignment horizontal="center" vertical="center"/>
    </xf>
    <xf numFmtId="0" fontId="17" fillId="0" borderId="0" xfId="0" applyFont="1" applyBorder="1" applyAlignment="1"/>
    <xf numFmtId="0" fontId="17" fillId="0" borderId="0" xfId="0" applyFont="1" applyBorder="1" applyAlignment="1">
      <alignment horizontal="center" vertical="center"/>
    </xf>
    <xf numFmtId="0" fontId="17" fillId="0" borderId="0" xfId="2" applyFont="1" applyBorder="1" applyAlignment="1"/>
    <xf numFmtId="0" fontId="17" fillId="2" borderId="0" xfId="2" applyFont="1" applyFill="1" applyBorder="1" applyAlignment="1"/>
    <xf numFmtId="0" fontId="26" fillId="2" borderId="0" xfId="0" applyFont="1" applyFill="1" applyBorder="1"/>
    <xf numFmtId="0" fontId="17" fillId="2" borderId="0" xfId="0" applyFont="1" applyFill="1" applyBorder="1"/>
    <xf numFmtId="0" fontId="27" fillId="0" borderId="0" xfId="0" applyFont="1" applyFill="1" applyBorder="1" applyAlignment="1">
      <alignment horizontal="left" vertical="center"/>
    </xf>
    <xf numFmtId="0" fontId="28" fillId="0" borderId="0" xfId="0" applyFont="1" applyFill="1"/>
    <xf numFmtId="0" fontId="17" fillId="0" borderId="0" xfId="0" applyFont="1" applyAlignment="1">
      <alignment horizontal="center" vertical="center"/>
    </xf>
    <xf numFmtId="0" fontId="17" fillId="0" borderId="0" xfId="2" applyFont="1" applyAlignment="1">
      <alignment horizontal="right"/>
    </xf>
    <xf numFmtId="0" fontId="17" fillId="2" borderId="0" xfId="2" applyFont="1" applyFill="1" applyAlignment="1">
      <alignment horizontal="right"/>
    </xf>
    <xf numFmtId="0" fontId="29" fillId="2" borderId="0" xfId="0" applyFont="1" applyFill="1" applyBorder="1"/>
    <xf numFmtId="3" fontId="30" fillId="0" borderId="0" xfId="0" applyNumberFormat="1" applyFont="1" applyFill="1" applyBorder="1" applyAlignment="1">
      <alignment horizontal="left" vertical="center"/>
    </xf>
    <xf numFmtId="3" fontId="15" fillId="2" borderId="0" xfId="0" applyNumberFormat="1" applyFont="1" applyFill="1" applyBorder="1" applyAlignment="1">
      <alignment horizontal="left" vertical="center"/>
    </xf>
    <xf numFmtId="3" fontId="15" fillId="0" borderId="0" xfId="0" applyNumberFormat="1" applyFont="1" applyFill="1" applyBorder="1" applyAlignment="1">
      <alignment horizontal="left" vertical="center"/>
    </xf>
    <xf numFmtId="0" fontId="15" fillId="3" borderId="6" xfId="0" applyFont="1" applyFill="1" applyBorder="1" applyAlignment="1">
      <alignment horizontal="left" vertical="center" wrapText="1"/>
    </xf>
    <xf numFmtId="3" fontId="13" fillId="0" borderId="0" xfId="0" applyNumberFormat="1" applyFont="1" applyFill="1"/>
    <xf numFmtId="3" fontId="13" fillId="2" borderId="0" xfId="0" applyNumberFormat="1" applyFont="1" applyFill="1"/>
    <xf numFmtId="1" fontId="31" fillId="0" borderId="0" xfId="0" applyNumberFormat="1" applyFont="1" applyAlignment="1">
      <alignment horizontal="left"/>
    </xf>
    <xf numFmtId="1" fontId="31" fillId="0" borderId="0" xfId="0" applyNumberFormat="1" applyFont="1" applyFill="1" applyAlignment="1">
      <alignment horizontal="left"/>
    </xf>
    <xf numFmtId="0" fontId="32" fillId="0" borderId="0" xfId="0" applyFont="1" applyAlignment="1">
      <alignment horizontal="left"/>
    </xf>
    <xf numFmtId="0" fontId="31" fillId="0" borderId="0" xfId="0" applyFont="1" applyFill="1" applyAlignment="1">
      <alignment horizontal="left"/>
    </xf>
    <xf numFmtId="0" fontId="33" fillId="0" borderId="0" xfId="0" applyFont="1" applyFill="1" applyAlignment="1">
      <alignment horizontal="left"/>
    </xf>
    <xf numFmtId="0" fontId="13" fillId="0" borderId="0" xfId="0" applyFont="1" applyAlignment="1">
      <alignment horizontal="left"/>
    </xf>
    <xf numFmtId="0" fontId="32" fillId="0" borderId="0" xfId="0" applyFont="1" applyFill="1" applyAlignment="1">
      <alignment horizontal="left"/>
    </xf>
    <xf numFmtId="0" fontId="34" fillId="0" borderId="0" xfId="0" applyFont="1" applyAlignment="1">
      <alignment horizontal="left"/>
    </xf>
    <xf numFmtId="0" fontId="31" fillId="0" borderId="0" xfId="0" applyFont="1" applyAlignment="1">
      <alignment horizontal="left"/>
    </xf>
    <xf numFmtId="0" fontId="32" fillId="0" borderId="1" xfId="0" applyFont="1" applyBorder="1" applyAlignment="1">
      <alignment horizontal="center"/>
    </xf>
    <xf numFmtId="0" fontId="33" fillId="0" borderId="1" xfId="0" applyFont="1" applyFill="1" applyBorder="1" applyAlignment="1">
      <alignment horizontal="left"/>
    </xf>
    <xf numFmtId="0" fontId="32" fillId="0" borderId="1" xfId="0" applyFont="1" applyBorder="1" applyAlignment="1">
      <alignment horizontal="center" vertical="center"/>
    </xf>
    <xf numFmtId="0" fontId="32" fillId="0" borderId="1" xfId="0" applyFont="1" applyFill="1" applyBorder="1" applyAlignment="1">
      <alignment horizontal="center" vertical="center"/>
    </xf>
    <xf numFmtId="1" fontId="32" fillId="0" borderId="1" xfId="0" applyNumberFormat="1" applyFont="1" applyBorder="1" applyAlignment="1">
      <alignment horizontal="center" vertical="center" wrapText="1"/>
    </xf>
    <xf numFmtId="0" fontId="32" fillId="0" borderId="6" xfId="0" applyFont="1" applyBorder="1" applyAlignment="1">
      <alignment vertical="center"/>
    </xf>
    <xf numFmtId="0" fontId="32" fillId="0" borderId="2" xfId="0" applyFont="1" applyBorder="1" applyAlignment="1">
      <alignment horizontal="center" vertical="center"/>
    </xf>
    <xf numFmtId="0" fontId="32" fillId="0" borderId="4" xfId="0" applyFont="1" applyBorder="1" applyAlignment="1">
      <alignment horizontal="center" vertical="center"/>
    </xf>
    <xf numFmtId="0" fontId="32" fillId="0" borderId="2" xfId="0" applyFont="1" applyBorder="1" applyAlignment="1">
      <alignment vertical="center"/>
    </xf>
    <xf numFmtId="0" fontId="32" fillId="0" borderId="4" xfId="0" applyFont="1" applyBorder="1" applyAlignment="1">
      <alignment vertical="center"/>
    </xf>
    <xf numFmtId="9" fontId="32" fillId="0" borderId="2" xfId="0" applyNumberFormat="1" applyFont="1" applyBorder="1" applyAlignment="1">
      <alignment horizontal="center" vertical="center"/>
    </xf>
    <xf numFmtId="9" fontId="32" fillId="0" borderId="4" xfId="0" applyNumberFormat="1" applyFont="1" applyBorder="1" applyAlignment="1">
      <alignment horizontal="center" vertical="center"/>
    </xf>
    <xf numFmtId="9" fontId="32" fillId="0" borderId="1" xfId="0" applyNumberFormat="1" applyFont="1" applyBorder="1" applyAlignment="1">
      <alignment vertical="center" wrapText="1"/>
    </xf>
    <xf numFmtId="9" fontId="32" fillId="0" borderId="1" xfId="0" applyNumberFormat="1" applyFont="1" applyBorder="1" applyAlignment="1">
      <alignment horizontal="center" vertical="center" wrapText="1"/>
    </xf>
    <xf numFmtId="0" fontId="13" fillId="0" borderId="0" xfId="0" applyFont="1" applyBorder="1" applyAlignment="1">
      <alignment horizontal="left"/>
    </xf>
    <xf numFmtId="0" fontId="32" fillId="0" borderId="5" xfId="0" applyFont="1" applyBorder="1" applyAlignment="1">
      <alignment horizontal="center"/>
    </xf>
    <xf numFmtId="0" fontId="33" fillId="0" borderId="8" xfId="0" applyFont="1" applyFill="1" applyBorder="1" applyAlignment="1">
      <alignment horizontal="left"/>
    </xf>
    <xf numFmtId="0" fontId="32" fillId="0" borderId="5" xfId="0" applyFont="1" applyBorder="1" applyAlignment="1">
      <alignment horizontal="center" vertical="center"/>
    </xf>
    <xf numFmtId="0" fontId="32" fillId="0" borderId="5" xfId="0" applyFont="1" applyFill="1" applyBorder="1" applyAlignment="1">
      <alignment horizontal="center" vertical="center"/>
    </xf>
    <xf numFmtId="1" fontId="32" fillId="0" borderId="5" xfId="0" applyNumberFormat="1" applyFont="1" applyBorder="1" applyAlignment="1">
      <alignment horizontal="center" vertical="center" wrapText="1"/>
    </xf>
    <xf numFmtId="9" fontId="32" fillId="0" borderId="5" xfId="0" applyNumberFormat="1" applyFont="1" applyBorder="1" applyAlignment="1">
      <alignment vertical="center" wrapText="1"/>
    </xf>
    <xf numFmtId="9" fontId="32" fillId="0" borderId="5" xfId="0" applyNumberFormat="1" applyFont="1" applyBorder="1" applyAlignment="1">
      <alignment horizontal="center" vertical="center" wrapText="1"/>
    </xf>
    <xf numFmtId="0" fontId="32" fillId="0" borderId="6" xfId="0" applyFont="1" applyFill="1" applyBorder="1" applyAlignment="1">
      <alignment horizontal="left"/>
    </xf>
    <xf numFmtId="0" fontId="34" fillId="0" borderId="6" xfId="0" applyFont="1" applyFill="1" applyBorder="1" applyAlignment="1">
      <alignment horizontal="left"/>
    </xf>
    <xf numFmtId="1" fontId="34" fillId="0" borderId="6" xfId="0" applyNumberFormat="1" applyFont="1" applyFill="1" applyBorder="1" applyAlignment="1">
      <alignment horizontal="left"/>
    </xf>
    <xf numFmtId="0" fontId="34" fillId="0" borderId="6" xfId="0" applyFont="1" applyFill="1" applyBorder="1" applyAlignment="1">
      <alignment horizontal="center"/>
    </xf>
    <xf numFmtId="49" fontId="32" fillId="0" borderId="6" xfId="0" applyNumberFormat="1" applyFont="1" applyFill="1" applyBorder="1" applyAlignment="1">
      <alignment horizontal="center"/>
    </xf>
    <xf numFmtId="1" fontId="32" fillId="0" borderId="6" xfId="0" applyNumberFormat="1" applyFont="1" applyFill="1" applyBorder="1" applyAlignment="1">
      <alignment horizontal="center"/>
    </xf>
    <xf numFmtId="164" fontId="32" fillId="0" borderId="6" xfId="0" applyNumberFormat="1" applyFont="1" applyFill="1" applyBorder="1" applyAlignment="1">
      <alignment horizontal="center"/>
    </xf>
    <xf numFmtId="2" fontId="13" fillId="0" borderId="0" xfId="0" applyNumberFormat="1" applyFont="1" applyFill="1" applyBorder="1" applyAlignment="1">
      <alignment horizontal="left"/>
    </xf>
    <xf numFmtId="0" fontId="13" fillId="0" borderId="0" xfId="0" applyFont="1" applyFill="1" applyBorder="1" applyAlignment="1">
      <alignment horizontal="left"/>
    </xf>
    <xf numFmtId="0" fontId="13" fillId="0" borderId="0" xfId="0" applyFont="1" applyFill="1" applyAlignment="1">
      <alignment horizontal="left"/>
    </xf>
    <xf numFmtId="49" fontId="34" fillId="0" borderId="6" xfId="0" applyNumberFormat="1" applyFont="1" applyFill="1" applyBorder="1" applyAlignment="1">
      <alignment horizontal="left"/>
    </xf>
    <xf numFmtId="0" fontId="34" fillId="3" borderId="6" xfId="0" applyFont="1" applyFill="1" applyBorder="1" applyAlignment="1">
      <alignment horizontal="center"/>
    </xf>
    <xf numFmtId="1" fontId="13" fillId="0" borderId="0" xfId="0" applyNumberFormat="1" applyFont="1" applyFill="1" applyBorder="1" applyAlignment="1">
      <alignment horizontal="left"/>
    </xf>
    <xf numFmtId="2" fontId="34" fillId="0" borderId="6" xfId="0" applyNumberFormat="1" applyFont="1" applyFill="1" applyBorder="1" applyAlignment="1">
      <alignment horizontal="left"/>
    </xf>
    <xf numFmtId="49" fontId="35" fillId="0" borderId="6" xfId="0" applyNumberFormat="1" applyFont="1" applyFill="1" applyBorder="1" applyAlignment="1">
      <alignment horizontal="center"/>
    </xf>
    <xf numFmtId="49" fontId="34" fillId="0" borderId="6" xfId="0" applyNumberFormat="1" applyFont="1" applyFill="1" applyBorder="1" applyAlignment="1">
      <alignment horizontal="center"/>
    </xf>
    <xf numFmtId="0" fontId="35" fillId="0" borderId="6" xfId="0" applyFont="1" applyFill="1" applyBorder="1" applyAlignment="1">
      <alignment horizontal="center"/>
    </xf>
    <xf numFmtId="0" fontId="31" fillId="3" borderId="6" xfId="0" applyFont="1" applyFill="1" applyBorder="1" applyAlignment="1">
      <alignment horizontal="left"/>
    </xf>
    <xf numFmtId="0" fontId="36" fillId="3" borderId="6" xfId="0" applyFont="1" applyFill="1" applyBorder="1" applyAlignment="1">
      <alignment horizontal="left"/>
    </xf>
    <xf numFmtId="1" fontId="31" fillId="3" borderId="6" xfId="0" applyNumberFormat="1" applyFont="1" applyFill="1" applyBorder="1" applyAlignment="1">
      <alignment horizontal="left"/>
    </xf>
    <xf numFmtId="1" fontId="31" fillId="3" borderId="6" xfId="0" applyNumberFormat="1" applyFont="1" applyFill="1" applyBorder="1" applyAlignment="1">
      <alignment horizontal="center"/>
    </xf>
    <xf numFmtId="0" fontId="25" fillId="3" borderId="0" xfId="0" applyFont="1" applyFill="1" applyBorder="1" applyAlignment="1">
      <alignment horizontal="left"/>
    </xf>
    <xf numFmtId="0" fontId="25" fillId="3" borderId="0" xfId="0" applyFont="1" applyFill="1" applyAlignment="1">
      <alignment horizontal="left"/>
    </xf>
    <xf numFmtId="0" fontId="32" fillId="0" borderId="0" xfId="0" applyFont="1" applyFill="1" applyBorder="1" applyAlignment="1">
      <alignment horizontal="left"/>
    </xf>
    <xf numFmtId="49" fontId="32" fillId="0" borderId="0" xfId="0" applyNumberFormat="1" applyFont="1" applyFill="1" applyBorder="1" applyAlignment="1">
      <alignment horizontal="left"/>
    </xf>
    <xf numFmtId="0" fontId="32" fillId="3" borderId="0" xfId="0" applyFont="1" applyFill="1" applyBorder="1" applyAlignment="1">
      <alignment horizontal="left"/>
    </xf>
    <xf numFmtId="1" fontId="32" fillId="0" borderId="0" xfId="0" applyNumberFormat="1" applyFont="1" applyFill="1" applyBorder="1" applyAlignment="1">
      <alignment horizontal="left"/>
    </xf>
    <xf numFmtId="0" fontId="34" fillId="0" borderId="0" xfId="0" applyFont="1" applyFill="1" applyBorder="1" applyAlignment="1">
      <alignment horizontal="left"/>
    </xf>
    <xf numFmtId="0" fontId="36" fillId="0" borderId="0" xfId="0" applyFont="1" applyAlignment="1">
      <alignment horizontal="left"/>
    </xf>
    <xf numFmtId="0" fontId="32" fillId="0" borderId="0" xfId="0" applyFont="1" applyBorder="1" applyAlignment="1">
      <alignment horizontal="left"/>
    </xf>
    <xf numFmtId="0" fontId="34" fillId="0" borderId="0" xfId="0" applyFont="1" applyBorder="1" applyAlignment="1">
      <alignment horizontal="left"/>
    </xf>
    <xf numFmtId="0" fontId="34" fillId="0" borderId="0" xfId="0" applyFont="1" applyFill="1" applyAlignment="1">
      <alignment horizontal="left"/>
    </xf>
    <xf numFmtId="0" fontId="37" fillId="0" borderId="0" xfId="0" applyFont="1" applyFill="1" applyAlignment="1">
      <alignment horizontal="left"/>
    </xf>
    <xf numFmtId="0" fontId="37" fillId="2" borderId="0" xfId="0" applyFont="1" applyFill="1" applyAlignment="1">
      <alignment horizontal="left"/>
    </xf>
    <xf numFmtId="0" fontId="38" fillId="2" borderId="0" xfId="0" applyFont="1" applyFill="1" applyAlignment="1">
      <alignment horizontal="left"/>
    </xf>
    <xf numFmtId="0" fontId="37" fillId="0" borderId="0" xfId="0" applyNumberFormat="1" applyFont="1" applyFill="1" applyAlignment="1">
      <alignment horizontal="left"/>
    </xf>
    <xf numFmtId="0" fontId="38" fillId="0" borderId="0" xfId="0" applyFont="1" applyFill="1" applyAlignment="1">
      <alignment horizontal="left"/>
    </xf>
    <xf numFmtId="1" fontId="39" fillId="0" borderId="0" xfId="0" applyNumberFormat="1" applyFont="1" applyFill="1" applyAlignment="1">
      <alignment horizontal="left"/>
    </xf>
    <xf numFmtId="0" fontId="39" fillId="0" borderId="0" xfId="0" applyFont="1" applyFill="1" applyAlignment="1">
      <alignment horizontal="left"/>
    </xf>
    <xf numFmtId="0" fontId="39" fillId="2" borderId="0" xfId="0" applyFont="1" applyFill="1" applyAlignment="1">
      <alignment horizontal="left"/>
    </xf>
    <xf numFmtId="0" fontId="40" fillId="2" borderId="0" xfId="0" applyFont="1" applyFill="1" applyAlignment="1">
      <alignment horizontal="left"/>
    </xf>
    <xf numFmtId="0" fontId="40" fillId="0" borderId="0" xfId="0" applyFont="1" applyFill="1" applyAlignment="1">
      <alignment horizontal="left"/>
    </xf>
    <xf numFmtId="0" fontId="37" fillId="0" borderId="1" xfId="0" applyFont="1" applyFill="1" applyBorder="1" applyAlignment="1">
      <alignment horizontal="left"/>
    </xf>
    <xf numFmtId="0" fontId="39" fillId="0" borderId="6" xfId="2" applyFont="1" applyFill="1" applyBorder="1" applyAlignment="1">
      <alignment horizontal="center" vertical="center" wrapText="1"/>
    </xf>
    <xf numFmtId="1" fontId="39" fillId="0" borderId="1" xfId="0" applyNumberFormat="1" applyFont="1" applyFill="1" applyBorder="1" applyAlignment="1">
      <alignment horizontal="center" vertical="top" wrapText="1"/>
    </xf>
    <xf numFmtId="0" fontId="37" fillId="0" borderId="2" xfId="0" applyFont="1" applyFill="1" applyBorder="1" applyAlignment="1">
      <alignment horizontal="left"/>
    </xf>
    <xf numFmtId="0" fontId="37" fillId="0" borderId="3" xfId="0" applyFont="1" applyFill="1" applyBorder="1" applyAlignment="1">
      <alignment horizontal="left"/>
    </xf>
    <xf numFmtId="0" fontId="37" fillId="0" borderId="4" xfId="0" applyFont="1" applyFill="1" applyBorder="1" applyAlignment="1">
      <alignment horizontal="left"/>
    </xf>
    <xf numFmtId="0" fontId="37" fillId="0" borderId="2" xfId="0" applyFont="1" applyFill="1" applyBorder="1" applyAlignment="1">
      <alignment horizontal="center"/>
    </xf>
    <xf numFmtId="0" fontId="37" fillId="0" borderId="3" xfId="0" applyFont="1" applyFill="1" applyBorder="1" applyAlignment="1">
      <alignment horizontal="center"/>
    </xf>
    <xf numFmtId="0" fontId="37" fillId="0" borderId="4" xfId="0" applyFont="1" applyFill="1" applyBorder="1" applyAlignment="1">
      <alignment horizontal="center"/>
    </xf>
    <xf numFmtId="0" fontId="37" fillId="2" borderId="2" xfId="0" applyFont="1" applyFill="1" applyBorder="1" applyAlignment="1">
      <alignment horizontal="center"/>
    </xf>
    <xf numFmtId="0" fontId="37" fillId="2" borderId="3" xfId="0" applyFont="1" applyFill="1" applyBorder="1" applyAlignment="1">
      <alignment horizontal="center"/>
    </xf>
    <xf numFmtId="0" fontId="37" fillId="2" borderId="4" xfId="0" applyFont="1" applyFill="1" applyBorder="1" applyAlignment="1">
      <alignment horizontal="center"/>
    </xf>
    <xf numFmtId="0" fontId="37" fillId="2" borderId="2" xfId="0" applyFont="1" applyFill="1" applyBorder="1" applyAlignment="1">
      <alignment horizontal="left"/>
    </xf>
    <xf numFmtId="0" fontId="37" fillId="2" borderId="3" xfId="0" applyFont="1" applyFill="1" applyBorder="1" applyAlignment="1">
      <alignment horizontal="left"/>
    </xf>
    <xf numFmtId="0" fontId="37" fillId="2" borderId="3" xfId="0" applyFont="1" applyFill="1" applyBorder="1" applyAlignment="1"/>
    <xf numFmtId="0" fontId="37" fillId="0" borderId="4" xfId="0" applyFont="1" applyFill="1" applyBorder="1" applyAlignment="1"/>
    <xf numFmtId="0" fontId="37" fillId="2" borderId="4" xfId="0" applyFont="1" applyFill="1" applyBorder="1" applyAlignment="1">
      <alignment horizontal="left"/>
    </xf>
    <xf numFmtId="0" fontId="37" fillId="2" borderId="2" xfId="0" applyFont="1" applyFill="1" applyBorder="1" applyAlignment="1">
      <alignment vertical="top"/>
    </xf>
    <xf numFmtId="0" fontId="37" fillId="2" borderId="3" xfId="0" applyNumberFormat="1" applyFont="1" applyFill="1" applyBorder="1" applyAlignment="1">
      <alignment horizontal="left"/>
    </xf>
    <xf numFmtId="0" fontId="37" fillId="2" borderId="2" xfId="0" applyFont="1" applyFill="1" applyBorder="1" applyAlignment="1"/>
    <xf numFmtId="0" fontId="37" fillId="2" borderId="4" xfId="0" applyFont="1" applyFill="1" applyBorder="1" applyAlignment="1"/>
    <xf numFmtId="0" fontId="37" fillId="2" borderId="2" xfId="0" applyFont="1" applyFill="1" applyBorder="1" applyAlignment="1">
      <alignment horizontal="center"/>
    </xf>
    <xf numFmtId="0" fontId="37" fillId="2" borderId="3" xfId="0" applyFont="1" applyFill="1" applyBorder="1" applyAlignment="1">
      <alignment horizontal="center"/>
    </xf>
    <xf numFmtId="0" fontId="37" fillId="2" borderId="4" xfId="0" applyFont="1" applyFill="1" applyBorder="1" applyAlignment="1">
      <alignment horizontal="center"/>
    </xf>
    <xf numFmtId="0" fontId="37" fillId="2" borderId="2" xfId="0" applyFont="1" applyFill="1" applyBorder="1" applyAlignment="1">
      <alignment horizontal="left" wrapText="1"/>
    </xf>
    <xf numFmtId="0" fontId="37" fillId="2" borderId="4" xfId="0" applyFont="1" applyFill="1" applyBorder="1" applyAlignment="1">
      <alignment horizontal="left" wrapText="1"/>
    </xf>
    <xf numFmtId="0" fontId="39" fillId="2" borderId="9" xfId="0" applyFont="1" applyFill="1" applyBorder="1" applyAlignment="1">
      <alignment horizontal="left" vertical="center" wrapText="1"/>
    </xf>
    <xf numFmtId="0" fontId="39" fillId="2" borderId="9" xfId="0" applyFont="1" applyFill="1" applyBorder="1" applyAlignment="1">
      <alignment horizontal="left" vertical="center" wrapText="1"/>
    </xf>
    <xf numFmtId="0" fontId="37" fillId="0" borderId="8" xfId="0" applyFont="1" applyFill="1" applyBorder="1" applyAlignment="1">
      <alignment horizontal="left"/>
    </xf>
    <xf numFmtId="0" fontId="39" fillId="0" borderId="6" xfId="2" applyFont="1" applyFill="1" applyBorder="1" applyAlignment="1"/>
    <xf numFmtId="1" fontId="39" fillId="0" borderId="8" xfId="0" applyNumberFormat="1" applyFont="1" applyFill="1" applyBorder="1" applyAlignment="1">
      <alignment horizontal="center" vertical="top" wrapText="1"/>
    </xf>
    <xf numFmtId="49" fontId="37" fillId="0" borderId="1" xfId="0" applyNumberFormat="1" applyFont="1" applyFill="1" applyBorder="1" applyAlignment="1">
      <alignment horizontal="left"/>
    </xf>
    <xf numFmtId="49" fontId="37" fillId="2" borderId="2" xfId="0" applyNumberFormat="1" applyFont="1" applyFill="1" applyBorder="1" applyAlignment="1">
      <alignment horizontal="left"/>
    </xf>
    <xf numFmtId="0" fontId="37" fillId="2" borderId="6" xfId="0" applyFont="1" applyFill="1" applyBorder="1" applyAlignment="1">
      <alignment horizontal="left"/>
    </xf>
    <xf numFmtId="49" fontId="37" fillId="2" borderId="3" xfId="0" applyNumberFormat="1" applyFont="1" applyFill="1" applyBorder="1" applyAlignment="1">
      <alignment horizontal="left"/>
    </xf>
    <xf numFmtId="49" fontId="37" fillId="2" borderId="2" xfId="0" applyNumberFormat="1" applyFont="1" applyFill="1" applyBorder="1" applyAlignment="1">
      <alignment horizontal="center"/>
    </xf>
    <xf numFmtId="49" fontId="37" fillId="2" borderId="3" xfId="0" applyNumberFormat="1" applyFont="1" applyFill="1" applyBorder="1" applyAlignment="1">
      <alignment horizontal="center"/>
    </xf>
    <xf numFmtId="49" fontId="37" fillId="2" borderId="4" xfId="0" applyNumberFormat="1" applyFont="1" applyFill="1" applyBorder="1" applyAlignment="1">
      <alignment horizontal="center"/>
    </xf>
    <xf numFmtId="0" fontId="37" fillId="2" borderId="1" xfId="0" applyFont="1" applyFill="1" applyBorder="1" applyAlignment="1">
      <alignment horizontal="left"/>
    </xf>
    <xf numFmtId="0" fontId="37" fillId="2" borderId="7" xfId="0" applyFont="1" applyFill="1" applyBorder="1" applyAlignment="1">
      <alignment vertical="top"/>
    </xf>
    <xf numFmtId="0" fontId="37" fillId="2" borderId="1" xfId="0" applyFont="1" applyFill="1" applyBorder="1" applyAlignment="1">
      <alignment horizontal="left" vertical="top"/>
    </xf>
    <xf numFmtId="0" fontId="37" fillId="2" borderId="1" xfId="0" applyFont="1" applyFill="1" applyBorder="1" applyAlignment="1">
      <alignment horizontal="center"/>
    </xf>
    <xf numFmtId="0" fontId="37" fillId="2" borderId="1" xfId="0" applyFont="1" applyFill="1" applyBorder="1" applyAlignment="1"/>
    <xf numFmtId="0" fontId="37" fillId="2" borderId="1" xfId="0" applyNumberFormat="1" applyFont="1" applyFill="1" applyBorder="1" applyAlignment="1">
      <alignment horizontal="left"/>
    </xf>
    <xf numFmtId="0" fontId="37" fillId="2" borderId="1" xfId="0" applyFont="1" applyFill="1" applyBorder="1" applyAlignment="1">
      <alignment horizontal="left"/>
    </xf>
    <xf numFmtId="0" fontId="37" fillId="2" borderId="5" xfId="0" applyFont="1" applyFill="1" applyBorder="1" applyAlignment="1">
      <alignment horizontal="left"/>
    </xf>
    <xf numFmtId="0" fontId="37" fillId="2" borderId="8" xfId="0" applyFont="1" applyFill="1" applyBorder="1" applyAlignment="1">
      <alignment horizontal="left"/>
    </xf>
    <xf numFmtId="0" fontId="39" fillId="2" borderId="8" xfId="0" applyFont="1" applyFill="1" applyBorder="1" applyAlignment="1">
      <alignment horizontal="left" vertical="center" wrapText="1"/>
    </xf>
    <xf numFmtId="0" fontId="39" fillId="2" borderId="8" xfId="0" applyFont="1" applyFill="1" applyBorder="1" applyAlignment="1">
      <alignment horizontal="left" vertical="center" wrapText="1"/>
    </xf>
    <xf numFmtId="9" fontId="39" fillId="2" borderId="8" xfId="0" applyNumberFormat="1" applyFont="1" applyFill="1" applyBorder="1" applyAlignment="1">
      <alignment horizontal="left" vertical="center" wrapText="1"/>
    </xf>
    <xf numFmtId="0" fontId="37" fillId="0" borderId="5" xfId="0" applyFont="1" applyFill="1" applyBorder="1" applyAlignment="1">
      <alignment horizontal="left"/>
    </xf>
    <xf numFmtId="1" fontId="39" fillId="0" borderId="5" xfId="0" applyNumberFormat="1" applyFont="1" applyFill="1" applyBorder="1" applyAlignment="1">
      <alignment horizontal="center" vertical="top" wrapText="1"/>
    </xf>
    <xf numFmtId="49" fontId="37" fillId="0" borderId="5" xfId="0" applyNumberFormat="1" applyFont="1" applyFill="1" applyBorder="1" applyAlignment="1">
      <alignment horizontal="left"/>
    </xf>
    <xf numFmtId="9" fontId="37" fillId="2" borderId="6" xfId="0" applyNumberFormat="1" applyFont="1" applyFill="1" applyBorder="1" applyAlignment="1">
      <alignment horizontal="left"/>
    </xf>
    <xf numFmtId="9" fontId="37" fillId="0" borderId="6" xfId="0" applyNumberFormat="1" applyFont="1" applyFill="1" applyBorder="1" applyAlignment="1">
      <alignment horizontal="left"/>
    </xf>
    <xf numFmtId="0" fontId="37" fillId="2" borderId="10" xfId="0" applyFont="1" applyFill="1" applyBorder="1" applyAlignment="1">
      <alignment vertical="top"/>
    </xf>
    <xf numFmtId="0" fontId="37" fillId="2" borderId="5" xfId="0" applyFont="1" applyFill="1" applyBorder="1" applyAlignment="1">
      <alignment horizontal="left" vertical="top"/>
    </xf>
    <xf numFmtId="0" fontId="37" fillId="2" borderId="5" xfId="0" applyFont="1" applyFill="1" applyBorder="1" applyAlignment="1">
      <alignment horizontal="center"/>
    </xf>
    <xf numFmtId="0" fontId="37" fillId="2" borderId="5" xfId="0" applyFont="1" applyFill="1" applyBorder="1" applyAlignment="1"/>
    <xf numFmtId="0" fontId="37" fillId="2" borderId="5" xfId="0" applyNumberFormat="1" applyFont="1" applyFill="1" applyBorder="1" applyAlignment="1">
      <alignment horizontal="left"/>
    </xf>
    <xf numFmtId="0" fontId="37" fillId="2" borderId="5" xfId="0" applyFont="1" applyFill="1" applyBorder="1" applyAlignment="1">
      <alignment horizontal="left"/>
    </xf>
    <xf numFmtId="0" fontId="39" fillId="2" borderId="5" xfId="0" applyFont="1" applyFill="1" applyBorder="1" applyAlignment="1">
      <alignment horizontal="left" vertical="center" wrapText="1"/>
    </xf>
    <xf numFmtId="0" fontId="39" fillId="2" borderId="5" xfId="0" applyFont="1" applyFill="1" applyBorder="1" applyAlignment="1">
      <alignment horizontal="left" vertical="center" wrapText="1"/>
    </xf>
    <xf numFmtId="0" fontId="37" fillId="0" borderId="6" xfId="0" applyFont="1" applyFill="1" applyBorder="1" applyAlignment="1">
      <alignment horizontal="left"/>
    </xf>
    <xf numFmtId="1" fontId="37" fillId="0" borderId="6" xfId="0" applyNumberFormat="1" applyFont="1" applyFill="1" applyBorder="1" applyAlignment="1">
      <alignment horizontal="left"/>
    </xf>
    <xf numFmtId="1" fontId="37" fillId="2" borderId="6" xfId="0" applyNumberFormat="1" applyFont="1" applyFill="1" applyBorder="1" applyAlignment="1">
      <alignment horizontal="left"/>
    </xf>
    <xf numFmtId="1" fontId="39" fillId="3" borderId="6" xfId="0" applyNumberFormat="1" applyFont="1" applyFill="1" applyBorder="1" applyAlignment="1">
      <alignment horizontal="left"/>
    </xf>
    <xf numFmtId="1" fontId="39" fillId="0" borderId="6" xfId="0" applyNumberFormat="1" applyFont="1" applyFill="1" applyBorder="1" applyAlignment="1">
      <alignment horizontal="left"/>
    </xf>
    <xf numFmtId="1" fontId="41" fillId="0" borderId="6" xfId="0" applyNumberFormat="1" applyFont="1" applyFill="1" applyBorder="1" applyAlignment="1">
      <alignment horizontal="left"/>
    </xf>
    <xf numFmtId="1" fontId="37" fillId="3" borderId="6" xfId="0" applyNumberFormat="1" applyFont="1" applyFill="1" applyBorder="1" applyAlignment="1">
      <alignment horizontal="left"/>
    </xf>
    <xf numFmtId="0" fontId="39" fillId="0" borderId="6" xfId="0" applyFont="1" applyFill="1" applyBorder="1" applyAlignment="1">
      <alignment horizontal="left"/>
    </xf>
    <xf numFmtId="1" fontId="39" fillId="2" borderId="6" xfId="0" applyNumberFormat="1" applyFont="1" applyFill="1" applyBorder="1" applyAlignment="1">
      <alignment horizontal="left"/>
    </xf>
    <xf numFmtId="1" fontId="37" fillId="0" borderId="1" xfId="0" applyNumberFormat="1" applyFont="1" applyFill="1" applyBorder="1" applyAlignment="1">
      <alignment horizontal="left"/>
    </xf>
    <xf numFmtId="1" fontId="37" fillId="2" borderId="1" xfId="0" applyNumberFormat="1" applyFont="1" applyFill="1" applyBorder="1" applyAlignment="1">
      <alignment horizontal="left"/>
    </xf>
    <xf numFmtId="1" fontId="39" fillId="0" borderId="1" xfId="0" applyNumberFormat="1" applyFont="1" applyFill="1" applyBorder="1" applyAlignment="1">
      <alignment horizontal="left"/>
    </xf>
    <xf numFmtId="2" fontId="37" fillId="0" borderId="6" xfId="0" applyNumberFormat="1" applyFont="1" applyFill="1" applyBorder="1" applyAlignment="1">
      <alignment horizontal="left"/>
    </xf>
    <xf numFmtId="49" fontId="37" fillId="0" borderId="6" xfId="0" applyNumberFormat="1" applyFont="1" applyFill="1" applyBorder="1" applyAlignment="1">
      <alignment horizontal="left"/>
    </xf>
    <xf numFmtId="0" fontId="37" fillId="3" borderId="6" xfId="0" applyFont="1" applyFill="1" applyBorder="1" applyAlignment="1">
      <alignment horizontal="left"/>
    </xf>
    <xf numFmtId="1" fontId="42" fillId="3" borderId="6" xfId="0" applyNumberFormat="1" applyFont="1" applyFill="1" applyBorder="1" applyAlignment="1">
      <alignment horizontal="left"/>
    </xf>
    <xf numFmtId="1" fontId="42" fillId="2" borderId="6" xfId="0" applyNumberFormat="1" applyFont="1" applyFill="1" applyBorder="1" applyAlignment="1">
      <alignment horizontal="left"/>
    </xf>
    <xf numFmtId="1" fontId="42" fillId="2" borderId="0" xfId="0" applyNumberFormat="1" applyFont="1" applyFill="1" applyBorder="1" applyAlignment="1">
      <alignment horizontal="left"/>
    </xf>
    <xf numFmtId="0" fontId="42" fillId="3" borderId="0" xfId="0" applyFont="1" applyFill="1" applyAlignment="1">
      <alignment horizontal="left"/>
    </xf>
    <xf numFmtId="0" fontId="43" fillId="3" borderId="0" xfId="0" applyFont="1" applyFill="1" applyAlignment="1">
      <alignment horizontal="left"/>
    </xf>
    <xf numFmtId="1" fontId="37" fillId="2" borderId="0" xfId="0" applyNumberFormat="1" applyFont="1" applyFill="1" applyAlignment="1">
      <alignment horizontal="left"/>
    </xf>
    <xf numFmtId="0" fontId="41" fillId="0" borderId="6" xfId="0" applyFont="1" applyFill="1" applyBorder="1" applyAlignment="1">
      <alignment horizontal="left"/>
    </xf>
    <xf numFmtId="1" fontId="41" fillId="2" borderId="6" xfId="0" applyNumberFormat="1" applyFont="1" applyFill="1" applyBorder="1" applyAlignment="1">
      <alignment horizontal="left"/>
    </xf>
    <xf numFmtId="0" fontId="41" fillId="0" borderId="0" xfId="0" applyFont="1" applyFill="1" applyAlignment="1">
      <alignment horizontal="left"/>
    </xf>
    <xf numFmtId="0" fontId="44" fillId="0" borderId="0" xfId="0" applyFont="1" applyFill="1" applyAlignment="1">
      <alignment horizontal="left"/>
    </xf>
    <xf numFmtId="2" fontId="41" fillId="0" borderId="6" xfId="0" applyNumberFormat="1" applyFont="1" applyFill="1" applyBorder="1" applyAlignment="1">
      <alignment horizontal="left"/>
    </xf>
    <xf numFmtId="0" fontId="37" fillId="3" borderId="1" xfId="0" applyFont="1" applyFill="1" applyBorder="1" applyAlignment="1">
      <alignment horizontal="left"/>
    </xf>
    <xf numFmtId="1" fontId="37" fillId="3" borderId="1" xfId="0" applyNumberFormat="1" applyFont="1" applyFill="1" applyBorder="1" applyAlignment="1">
      <alignment horizontal="left"/>
    </xf>
    <xf numFmtId="1" fontId="42" fillId="3" borderId="1" xfId="0" applyNumberFormat="1" applyFont="1" applyFill="1" applyBorder="1" applyAlignment="1">
      <alignment horizontal="left"/>
    </xf>
    <xf numFmtId="1" fontId="42" fillId="2" borderId="1" xfId="0" applyNumberFormat="1" applyFont="1" applyFill="1" applyBorder="1" applyAlignment="1">
      <alignment horizontal="left"/>
    </xf>
    <xf numFmtId="0" fontId="37" fillId="3" borderId="0" xfId="0" applyFont="1" applyFill="1" applyAlignment="1">
      <alignment horizontal="left"/>
    </xf>
    <xf numFmtId="0" fontId="38" fillId="3" borderId="0" xfId="0" applyFont="1" applyFill="1" applyAlignment="1">
      <alignment horizontal="left"/>
    </xf>
    <xf numFmtId="0" fontId="37" fillId="4" borderId="6" xfId="0" applyFont="1" applyFill="1" applyBorder="1" applyAlignment="1">
      <alignment horizontal="left"/>
    </xf>
    <xf numFmtId="1" fontId="37" fillId="4" borderId="6" xfId="0" applyNumberFormat="1" applyFont="1" applyFill="1" applyBorder="1" applyAlignment="1">
      <alignment horizontal="left"/>
    </xf>
    <xf numFmtId="1" fontId="42" fillId="4" borderId="6" xfId="0" applyNumberFormat="1" applyFont="1" applyFill="1" applyBorder="1" applyAlignment="1">
      <alignment horizontal="left"/>
    </xf>
    <xf numFmtId="1" fontId="37" fillId="4" borderId="1" xfId="0" applyNumberFormat="1" applyFont="1" applyFill="1" applyBorder="1" applyAlignment="1">
      <alignment horizontal="left"/>
    </xf>
    <xf numFmtId="0" fontId="38" fillId="4" borderId="6" xfId="0" applyFont="1" applyFill="1" applyBorder="1" applyAlignment="1">
      <alignment horizontal="left"/>
    </xf>
    <xf numFmtId="0" fontId="37" fillId="0" borderId="0" xfId="0" applyFont="1" applyFill="1" applyBorder="1" applyAlignment="1">
      <alignment horizontal="left"/>
    </xf>
    <xf numFmtId="1" fontId="37" fillId="0" borderId="0" xfId="0" applyNumberFormat="1" applyFont="1" applyFill="1" applyBorder="1" applyAlignment="1">
      <alignment horizontal="left"/>
    </xf>
    <xf numFmtId="0" fontId="37" fillId="2" borderId="0" xfId="0" applyFont="1" applyFill="1" applyBorder="1" applyAlignment="1">
      <alignment horizontal="left"/>
    </xf>
    <xf numFmtId="1" fontId="37" fillId="2" borderId="0" xfId="0" applyNumberFormat="1" applyFont="1" applyFill="1" applyBorder="1" applyAlignment="1">
      <alignment horizontal="left"/>
    </xf>
    <xf numFmtId="1" fontId="37" fillId="5" borderId="1" xfId="0" applyNumberFormat="1" applyFont="1" applyFill="1" applyBorder="1" applyAlignment="1">
      <alignment horizontal="left"/>
    </xf>
    <xf numFmtId="0" fontId="37" fillId="0" borderId="0" xfId="0" applyNumberFormat="1" applyFont="1" applyFill="1" applyBorder="1" applyAlignment="1">
      <alignment horizontal="left"/>
    </xf>
    <xf numFmtId="0" fontId="38" fillId="0" borderId="0" xfId="0" applyFont="1" applyFill="1" applyBorder="1" applyAlignment="1">
      <alignment horizontal="left"/>
    </xf>
    <xf numFmtId="0" fontId="39" fillId="0" borderId="0" xfId="0" applyFont="1" applyFill="1" applyBorder="1" applyAlignment="1">
      <alignment horizontal="left"/>
    </xf>
    <xf numFmtId="0" fontId="39" fillId="3" borderId="0" xfId="0" applyFont="1" applyFill="1" applyBorder="1" applyAlignment="1">
      <alignment horizontal="left"/>
    </xf>
    <xf numFmtId="0" fontId="39" fillId="2" borderId="0" xfId="0" applyFont="1" applyFill="1" applyBorder="1" applyAlignment="1">
      <alignment horizontal="left"/>
    </xf>
    <xf numFmtId="1" fontId="39" fillId="2" borderId="0" xfId="0" applyNumberFormat="1" applyFont="1" applyFill="1" applyBorder="1" applyAlignment="1">
      <alignment horizontal="left"/>
    </xf>
    <xf numFmtId="0" fontId="37" fillId="3" borderId="0" xfId="0" applyFont="1" applyFill="1" applyBorder="1" applyAlignment="1">
      <alignment horizontal="left"/>
    </xf>
    <xf numFmtId="0" fontId="37" fillId="6" borderId="0" xfId="0" applyFont="1" applyFill="1" applyAlignment="1">
      <alignment horizontal="left"/>
    </xf>
    <xf numFmtId="0" fontId="39" fillId="0" borderId="0" xfId="0" applyFont="1" applyAlignment="1">
      <alignment horizontal="left"/>
    </xf>
    <xf numFmtId="0" fontId="37" fillId="0" borderId="0" xfId="0" applyFont="1" applyBorder="1" applyAlignment="1">
      <alignment horizontal="left"/>
    </xf>
    <xf numFmtId="0" fontId="37" fillId="0" borderId="0" xfId="0" applyFont="1" applyAlignment="1">
      <alignment horizontal="left"/>
    </xf>
    <xf numFmtId="0" fontId="37" fillId="2" borderId="0" xfId="0" applyNumberFormat="1" applyFont="1" applyFill="1" applyBorder="1" applyAlignment="1">
      <alignment horizontal="left"/>
    </xf>
    <xf numFmtId="0" fontId="42" fillId="2" borderId="0" xfId="0" applyFont="1" applyFill="1" applyBorder="1" applyAlignment="1">
      <alignment horizontal="left"/>
    </xf>
    <xf numFmtId="1" fontId="45" fillId="2" borderId="0" xfId="0" applyNumberFormat="1" applyFont="1" applyFill="1" applyBorder="1" applyAlignment="1">
      <alignment horizontal="left"/>
    </xf>
    <xf numFmtId="0" fontId="45" fillId="2" borderId="0" xfId="0" applyFont="1" applyFill="1" applyBorder="1" applyAlignment="1">
      <alignment horizontal="left"/>
    </xf>
    <xf numFmtId="0" fontId="42" fillId="2" borderId="0" xfId="0" applyNumberFormat="1" applyFont="1" applyFill="1" applyBorder="1" applyAlignment="1">
      <alignment horizontal="left"/>
    </xf>
    <xf numFmtId="0" fontId="42" fillId="2" borderId="0" xfId="0" applyFont="1" applyFill="1" applyAlignment="1">
      <alignment horizontal="left"/>
    </xf>
    <xf numFmtId="0" fontId="42" fillId="2" borderId="0" xfId="0" applyNumberFormat="1" applyFont="1" applyFill="1" applyAlignment="1">
      <alignment horizontal="left"/>
    </xf>
    <xf numFmtId="0" fontId="46" fillId="0" borderId="0" xfId="0" applyFont="1"/>
    <xf numFmtId="0" fontId="47" fillId="0" borderId="0" xfId="0" applyFont="1" applyAlignment="1">
      <alignment horizontal="left" wrapText="1"/>
    </xf>
    <xf numFmtId="0" fontId="48" fillId="7" borderId="6" xfId="0" applyFont="1" applyFill="1" applyBorder="1" applyAlignment="1">
      <alignment horizontal="center" vertical="center"/>
    </xf>
    <xf numFmtId="0" fontId="46" fillId="0" borderId="6" xfId="0" applyFont="1" applyBorder="1" applyAlignment="1">
      <alignment horizontal="center" vertical="center"/>
    </xf>
    <xf numFmtId="0" fontId="46" fillId="3" borderId="6" xfId="0" applyFont="1" applyFill="1" applyBorder="1" applyAlignment="1">
      <alignment horizontal="center" vertical="center"/>
    </xf>
    <xf numFmtId="0" fontId="46" fillId="3" borderId="6" xfId="0" applyFont="1" applyFill="1" applyBorder="1" applyAlignment="1">
      <alignment wrapText="1"/>
    </xf>
    <xf numFmtId="0" fontId="46" fillId="0" borderId="6" xfId="0" applyFont="1" applyBorder="1"/>
    <xf numFmtId="0" fontId="47" fillId="3" borderId="6" xfId="0" applyFont="1" applyFill="1" applyBorder="1" applyAlignment="1">
      <alignment horizontal="center" vertical="center"/>
    </xf>
    <xf numFmtId="0" fontId="47" fillId="3" borderId="6" xfId="0" applyFont="1" applyFill="1" applyBorder="1"/>
    <xf numFmtId="1" fontId="47" fillId="3" borderId="6" xfId="0" applyNumberFormat="1" applyFont="1" applyFill="1" applyBorder="1" applyAlignment="1">
      <alignment horizontal="center" vertical="center"/>
    </xf>
    <xf numFmtId="1" fontId="46" fillId="0" borderId="6" xfId="0" applyNumberFormat="1" applyFont="1" applyBorder="1" applyAlignment="1">
      <alignment horizontal="center" vertical="center"/>
    </xf>
    <xf numFmtId="0" fontId="46" fillId="0" borderId="6" xfId="0" applyFont="1" applyBorder="1" applyAlignment="1">
      <alignment wrapText="1"/>
    </xf>
    <xf numFmtId="0" fontId="46" fillId="0" borderId="6" xfId="0" applyFont="1" applyBorder="1" applyAlignment="1">
      <alignment vertical="top" wrapText="1"/>
    </xf>
    <xf numFmtId="0" fontId="46" fillId="0" borderId="6" xfId="0" applyFont="1" applyBorder="1" applyAlignment="1">
      <alignment horizontal="center" vertical="top"/>
    </xf>
    <xf numFmtId="164" fontId="46" fillId="0" borderId="6" xfId="0" applyNumberFormat="1" applyFont="1" applyBorder="1" applyAlignment="1">
      <alignment horizontal="center" vertical="center"/>
    </xf>
    <xf numFmtId="1" fontId="46" fillId="3" borderId="6" xfId="0" applyNumberFormat="1" applyFont="1" applyFill="1" applyBorder="1" applyAlignment="1">
      <alignment horizontal="center" vertical="center"/>
    </xf>
    <xf numFmtId="0" fontId="46" fillId="3" borderId="6" xfId="0" applyFont="1" applyFill="1" applyBorder="1"/>
    <xf numFmtId="0" fontId="47" fillId="4" borderId="6" xfId="0" applyFont="1" applyFill="1" applyBorder="1" applyAlignment="1">
      <alignment horizontal="center" vertical="center"/>
    </xf>
    <xf numFmtId="0" fontId="47" fillId="4" borderId="6" xfId="0" applyFont="1" applyFill="1" applyBorder="1" applyAlignment="1">
      <alignment wrapText="1"/>
    </xf>
    <xf numFmtId="0" fontId="47" fillId="3" borderId="6" xfId="0" applyFont="1" applyFill="1" applyBorder="1" applyAlignment="1">
      <alignment horizontal="left" wrapText="1"/>
    </xf>
    <xf numFmtId="0" fontId="47" fillId="3" borderId="2" xfId="0" applyFont="1" applyFill="1" applyBorder="1" applyAlignment="1">
      <alignment horizontal="center" vertical="distributed" wrapText="1"/>
    </xf>
    <xf numFmtId="0" fontId="46" fillId="0" borderId="3" xfId="0" applyFont="1" applyBorder="1" applyAlignment="1">
      <alignment horizontal="center" vertical="distributed" wrapText="1"/>
    </xf>
    <xf numFmtId="0" fontId="47" fillId="8" borderId="6" xfId="0" applyFont="1" applyFill="1" applyBorder="1" applyAlignment="1">
      <alignment horizontal="center" vertical="center"/>
    </xf>
    <xf numFmtId="49" fontId="47" fillId="8" borderId="6" xfId="0" applyNumberFormat="1" applyFont="1" applyFill="1" applyBorder="1" applyAlignment="1">
      <alignment horizontal="center" vertical="center"/>
    </xf>
    <xf numFmtId="0" fontId="47" fillId="8" borderId="6" xfId="0" applyFont="1" applyFill="1" applyBorder="1"/>
    <xf numFmtId="49" fontId="46" fillId="0" borderId="6" xfId="0" applyNumberFormat="1" applyFont="1" applyBorder="1" applyAlignment="1">
      <alignment horizontal="center" vertical="center"/>
    </xf>
    <xf numFmtId="49" fontId="46" fillId="3" borderId="6" xfId="0" applyNumberFormat="1" applyFont="1" applyFill="1" applyBorder="1" applyAlignment="1">
      <alignment horizontal="center" vertical="center"/>
    </xf>
    <xf numFmtId="0" fontId="47" fillId="3" borderId="6" xfId="0" applyFont="1" applyFill="1" applyBorder="1" applyAlignment="1">
      <alignment horizontal="left" vertical="center" wrapText="1"/>
    </xf>
    <xf numFmtId="0" fontId="49" fillId="0" borderId="0" xfId="0" applyFont="1" applyFill="1"/>
    <xf numFmtId="0" fontId="50" fillId="0" borderId="0" xfId="0" applyFont="1" applyFill="1"/>
    <xf numFmtId="0" fontId="51" fillId="0" borderId="0" xfId="0" applyFont="1" applyFill="1"/>
    <xf numFmtId="0" fontId="52" fillId="0" borderId="0" xfId="0" applyFont="1" applyFill="1"/>
    <xf numFmtId="0" fontId="53" fillId="0" borderId="0" xfId="0" applyFont="1" applyFill="1" applyBorder="1"/>
    <xf numFmtId="0" fontId="54" fillId="0" borderId="0" xfId="0" applyFont="1" applyFill="1"/>
    <xf numFmtId="0" fontId="50" fillId="2" borderId="0" xfId="0" applyFont="1" applyFill="1"/>
    <xf numFmtId="0" fontId="55" fillId="2" borderId="0" xfId="0" applyFont="1" applyFill="1"/>
    <xf numFmtId="0" fontId="50" fillId="2" borderId="0" xfId="0" applyFont="1" applyFill="1" applyAlignment="1">
      <alignment horizontal="left"/>
    </xf>
    <xf numFmtId="0" fontId="52" fillId="2" borderId="0" xfId="0" applyFont="1" applyFill="1"/>
    <xf numFmtId="0" fontId="54" fillId="2" borderId="0" xfId="0" applyFont="1" applyFill="1"/>
    <xf numFmtId="0" fontId="56" fillId="2" borderId="0" xfId="0" applyFont="1" applyFill="1"/>
    <xf numFmtId="0" fontId="57" fillId="2" borderId="0" xfId="0" applyFont="1" applyFill="1"/>
    <xf numFmtId="0" fontId="56" fillId="2" borderId="0" xfId="0" applyFont="1" applyFill="1" applyAlignment="1">
      <alignment horizontal="left"/>
    </xf>
    <xf numFmtId="0" fontId="58" fillId="2" borderId="11" xfId="0" applyFont="1" applyFill="1" applyBorder="1" applyAlignment="1">
      <alignment horizontal="center" vertical="center"/>
    </xf>
    <xf numFmtId="0" fontId="56" fillId="2" borderId="11" xfId="0" applyFont="1" applyFill="1" applyBorder="1" applyAlignment="1">
      <alignment horizontal="center" vertical="center"/>
    </xf>
    <xf numFmtId="0" fontId="56" fillId="2" borderId="11" xfId="0" applyFont="1" applyFill="1" applyBorder="1" applyAlignment="1">
      <alignment horizontal="center" vertical="center" wrapText="1"/>
    </xf>
    <xf numFmtId="0" fontId="56" fillId="2" borderId="11" xfId="0" applyFont="1" applyFill="1" applyBorder="1" applyAlignment="1">
      <alignment horizontal="center" vertical="center"/>
    </xf>
    <xf numFmtId="0" fontId="58" fillId="2" borderId="11" xfId="0" applyFont="1" applyFill="1" applyBorder="1" applyAlignment="1">
      <alignment horizontal="center" vertical="center" wrapText="1"/>
    </xf>
    <xf numFmtId="0" fontId="56" fillId="2" borderId="12" xfId="0" applyFont="1" applyFill="1" applyBorder="1" applyAlignment="1">
      <alignment horizontal="center" vertical="center"/>
    </xf>
    <xf numFmtId="0" fontId="56" fillId="2" borderId="11" xfId="0" applyFont="1" applyFill="1" applyBorder="1" applyAlignment="1">
      <alignment horizontal="center" vertical="center" wrapText="1"/>
    </xf>
    <xf numFmtId="9" fontId="56" fillId="2" borderId="11" xfId="0" applyNumberFormat="1" applyFont="1" applyFill="1" applyBorder="1" applyAlignment="1">
      <alignment horizontal="center" vertical="center" wrapText="1"/>
    </xf>
    <xf numFmtId="0" fontId="0" fillId="2" borderId="13" xfId="0" applyFill="1" applyBorder="1" applyAlignment="1">
      <alignment horizontal="center" vertical="center"/>
    </xf>
    <xf numFmtId="0" fontId="56" fillId="2" borderId="13" xfId="0" applyFont="1" applyFill="1" applyBorder="1" applyAlignment="1">
      <alignment horizontal="center" vertical="center"/>
    </xf>
    <xf numFmtId="0" fontId="56" fillId="2" borderId="13" xfId="0" applyFont="1" applyFill="1" applyBorder="1" applyAlignment="1">
      <alignment horizontal="center" vertical="center" wrapText="1"/>
    </xf>
    <xf numFmtId="0" fontId="56" fillId="2" borderId="13" xfId="0" applyFont="1" applyFill="1" applyBorder="1" applyAlignment="1">
      <alignment horizontal="center" vertical="center"/>
    </xf>
    <xf numFmtId="0" fontId="58" fillId="2" borderId="13" xfId="0" applyFont="1" applyFill="1" applyBorder="1" applyAlignment="1">
      <alignment horizontal="center" vertical="center" wrapText="1"/>
    </xf>
    <xf numFmtId="0" fontId="56" fillId="2" borderId="14" xfId="0" applyFont="1" applyFill="1" applyBorder="1" applyAlignment="1">
      <alignment horizontal="center" vertical="center"/>
    </xf>
    <xf numFmtId="0" fontId="56" fillId="2" borderId="13" xfId="0" applyFont="1" applyFill="1" applyBorder="1" applyAlignment="1">
      <alignment horizontal="center" vertical="center" wrapText="1"/>
    </xf>
    <xf numFmtId="0" fontId="58" fillId="2" borderId="15" xfId="0" applyFont="1" applyFill="1" applyBorder="1" applyAlignment="1">
      <alignment horizontal="left"/>
    </xf>
    <xf numFmtId="0" fontId="58" fillId="2" borderId="16" xfId="0" applyFont="1" applyFill="1" applyBorder="1" applyAlignment="1">
      <alignment horizontal="center"/>
    </xf>
    <xf numFmtId="49" fontId="58" fillId="2" borderId="17" xfId="0" applyNumberFormat="1" applyFont="1" applyFill="1" applyBorder="1" applyAlignment="1">
      <alignment horizontal="center"/>
    </xf>
    <xf numFmtId="0" fontId="58" fillId="2" borderId="5" xfId="0" applyFont="1" applyFill="1" applyBorder="1" applyAlignment="1">
      <alignment horizontal="center"/>
    </xf>
    <xf numFmtId="2" fontId="58" fillId="2" borderId="5" xfId="0" applyNumberFormat="1" applyFont="1" applyFill="1" applyBorder="1" applyAlignment="1">
      <alignment horizontal="center"/>
    </xf>
    <xf numFmtId="1" fontId="58" fillId="2" borderId="5" xfId="0" applyNumberFormat="1" applyFont="1" applyFill="1" applyBorder="1" applyAlignment="1">
      <alignment horizontal="center"/>
    </xf>
    <xf numFmtId="1" fontId="58" fillId="2" borderId="18" xfId="0" applyNumberFormat="1" applyFont="1" applyFill="1" applyBorder="1" applyAlignment="1">
      <alignment horizontal="center" vertical="center"/>
    </xf>
    <xf numFmtId="0" fontId="58" fillId="2" borderId="19" xfId="0" applyFont="1" applyFill="1" applyBorder="1"/>
    <xf numFmtId="0" fontId="58" fillId="2" borderId="20" xfId="0" applyFont="1" applyFill="1" applyBorder="1" applyAlignment="1">
      <alignment horizontal="center"/>
    </xf>
    <xf numFmtId="49" fontId="58" fillId="2" borderId="4" xfId="0" applyNumberFormat="1" applyFont="1" applyFill="1" applyBorder="1" applyAlignment="1">
      <alignment horizontal="center"/>
    </xf>
    <xf numFmtId="0" fontId="58" fillId="2" borderId="6" xfId="0" applyFont="1" applyFill="1" applyBorder="1" applyAlignment="1">
      <alignment horizontal="center"/>
    </xf>
    <xf numFmtId="1" fontId="58" fillId="2" borderId="6" xfId="0" applyNumberFormat="1" applyFont="1" applyFill="1" applyBorder="1" applyAlignment="1">
      <alignment horizontal="center"/>
    </xf>
    <xf numFmtId="0" fontId="58" fillId="2" borderId="15" xfId="0" applyFont="1" applyFill="1" applyBorder="1" applyAlignment="1">
      <alignment wrapText="1"/>
    </xf>
    <xf numFmtId="0" fontId="58" fillId="2" borderId="17" xfId="0" applyFont="1" applyFill="1" applyBorder="1" applyAlignment="1">
      <alignment horizontal="center"/>
    </xf>
    <xf numFmtId="0" fontId="59" fillId="2" borderId="5" xfId="0" applyFont="1" applyFill="1" applyBorder="1" applyAlignment="1">
      <alignment horizontal="center"/>
    </xf>
    <xf numFmtId="0" fontId="58" fillId="2" borderId="19" xfId="0" applyFont="1" applyFill="1" applyBorder="1" applyAlignment="1">
      <alignment horizontal="left" wrapText="1"/>
    </xf>
    <xf numFmtId="0" fontId="58" fillId="2" borderId="19" xfId="0" applyFont="1" applyFill="1" applyBorder="1" applyAlignment="1">
      <alignment wrapText="1"/>
    </xf>
    <xf numFmtId="0" fontId="60" fillId="2" borderId="6" xfId="0" applyFont="1" applyFill="1" applyBorder="1" applyAlignment="1">
      <alignment horizontal="center"/>
    </xf>
    <xf numFmtId="0" fontId="58" fillId="2" borderId="21" xfId="0" applyFont="1" applyFill="1" applyBorder="1" applyAlignment="1">
      <alignment wrapText="1"/>
    </xf>
    <xf numFmtId="0" fontId="58" fillId="2" borderId="22" xfId="0" applyFont="1" applyFill="1" applyBorder="1" applyAlignment="1">
      <alignment horizontal="center"/>
    </xf>
    <xf numFmtId="49" fontId="58" fillId="2" borderId="23" xfId="0" applyNumberFormat="1" applyFont="1" applyFill="1" applyBorder="1" applyAlignment="1">
      <alignment horizontal="center"/>
    </xf>
    <xf numFmtId="0" fontId="58" fillId="2" borderId="1" xfId="0" applyFont="1" applyFill="1" applyBorder="1" applyAlignment="1">
      <alignment horizontal="center"/>
    </xf>
    <xf numFmtId="1" fontId="58" fillId="2" borderId="1" xfId="0" applyNumberFormat="1" applyFont="1" applyFill="1" applyBorder="1" applyAlignment="1">
      <alignment horizontal="center"/>
    </xf>
    <xf numFmtId="0" fontId="58" fillId="2" borderId="1" xfId="0" applyFont="1" applyFill="1" applyBorder="1"/>
    <xf numFmtId="49" fontId="58" fillId="2" borderId="1" xfId="0" applyNumberFormat="1" applyFont="1" applyFill="1" applyBorder="1" applyAlignment="1">
      <alignment horizontal="center"/>
    </xf>
    <xf numFmtId="0" fontId="59" fillId="2" borderId="24" xfId="0" applyFont="1" applyFill="1" applyBorder="1"/>
    <xf numFmtId="164" fontId="59" fillId="2" borderId="24" xfId="0" applyNumberFormat="1" applyFont="1" applyFill="1" applyBorder="1" applyAlignment="1">
      <alignment horizontal="center"/>
    </xf>
    <xf numFmtId="1" fontId="59" fillId="2" borderId="24" xfId="0" applyNumberFormat="1" applyFont="1" applyFill="1" applyBorder="1" applyAlignment="1">
      <alignment horizontal="center"/>
    </xf>
    <xf numFmtId="0" fontId="58" fillId="2" borderId="4" xfId="0" applyFont="1" applyFill="1" applyBorder="1" applyAlignment="1">
      <alignment horizontal="center"/>
    </xf>
    <xf numFmtId="1" fontId="58" fillId="2" borderId="25" xfId="0" applyNumberFormat="1" applyFont="1" applyFill="1" applyBorder="1" applyAlignment="1">
      <alignment horizontal="center" vertical="center"/>
    </xf>
    <xf numFmtId="49" fontId="61" fillId="2" borderId="4" xfId="0" applyNumberFormat="1" applyFont="1" applyFill="1" applyBorder="1" applyAlignment="1">
      <alignment horizontal="center"/>
    </xf>
    <xf numFmtId="0" fontId="61" fillId="2" borderId="6" xfId="0" applyFont="1" applyFill="1" applyBorder="1" applyAlignment="1">
      <alignment horizontal="center"/>
    </xf>
    <xf numFmtId="1" fontId="62" fillId="2" borderId="6" xfId="0" applyNumberFormat="1" applyFont="1" applyFill="1" applyBorder="1" applyAlignment="1">
      <alignment horizontal="center"/>
    </xf>
    <xf numFmtId="2" fontId="58" fillId="2" borderId="6" xfId="0" applyNumberFormat="1" applyFont="1" applyFill="1" applyBorder="1" applyAlignment="1">
      <alignment horizontal="center"/>
    </xf>
    <xf numFmtId="0" fontId="58" fillId="2" borderId="19" xfId="0" applyFont="1" applyFill="1" applyBorder="1" applyAlignment="1">
      <alignment horizontal="left"/>
    </xf>
    <xf numFmtId="0" fontId="59" fillId="2" borderId="24" xfId="0" applyFont="1" applyFill="1" applyBorder="1" applyAlignment="1">
      <alignment horizontal="left"/>
    </xf>
    <xf numFmtId="0" fontId="59" fillId="2" borderId="26" xfId="0" applyFont="1" applyFill="1" applyBorder="1" applyAlignment="1">
      <alignment horizontal="center"/>
    </xf>
    <xf numFmtId="0" fontId="59" fillId="2" borderId="27" xfId="0" applyFont="1" applyFill="1" applyBorder="1" applyAlignment="1">
      <alignment horizontal="center"/>
    </xf>
    <xf numFmtId="1" fontId="59" fillId="2" borderId="27" xfId="0" applyNumberFormat="1" applyFont="1" applyFill="1" applyBorder="1" applyAlignment="1">
      <alignment horizontal="center"/>
    </xf>
    <xf numFmtId="0" fontId="58" fillId="2" borderId="28" xfId="0" applyFont="1" applyFill="1" applyBorder="1" applyAlignment="1">
      <alignment horizontal="left"/>
    </xf>
    <xf numFmtId="0" fontId="58" fillId="2" borderId="29" xfId="0" applyFont="1" applyFill="1" applyBorder="1" applyAlignment="1">
      <alignment horizontal="center"/>
    </xf>
    <xf numFmtId="49" fontId="58" fillId="2" borderId="30" xfId="0" applyNumberFormat="1" applyFont="1" applyFill="1" applyBorder="1" applyAlignment="1">
      <alignment horizontal="center"/>
    </xf>
    <xf numFmtId="0" fontId="58" fillId="2" borderId="31" xfId="0" applyFont="1" applyFill="1" applyBorder="1" applyAlignment="1">
      <alignment horizontal="center"/>
    </xf>
    <xf numFmtId="2" fontId="58" fillId="2" borderId="31" xfId="0" applyNumberFormat="1" applyFont="1" applyFill="1" applyBorder="1" applyAlignment="1">
      <alignment horizontal="center"/>
    </xf>
    <xf numFmtId="1" fontId="58" fillId="2" borderId="31" xfId="0" applyNumberFormat="1" applyFont="1" applyFill="1" applyBorder="1" applyAlignment="1">
      <alignment horizontal="center"/>
    </xf>
    <xf numFmtId="0" fontId="61" fillId="2" borderId="19" xfId="0" applyFont="1" applyFill="1" applyBorder="1" applyAlignment="1">
      <alignment horizontal="left"/>
    </xf>
    <xf numFmtId="0" fontId="61" fillId="2" borderId="20" xfId="0" applyFont="1" applyFill="1" applyBorder="1" applyAlignment="1">
      <alignment horizontal="center"/>
    </xf>
    <xf numFmtId="2" fontId="61" fillId="2" borderId="6" xfId="0" applyNumberFormat="1" applyFont="1" applyFill="1" applyBorder="1" applyAlignment="1">
      <alignment horizontal="center"/>
    </xf>
    <xf numFmtId="1" fontId="61" fillId="2" borderId="6" xfId="0" applyNumberFormat="1" applyFont="1" applyFill="1" applyBorder="1" applyAlignment="1">
      <alignment horizontal="center"/>
    </xf>
    <xf numFmtId="0" fontId="58" fillId="2" borderId="15" xfId="0" applyFont="1" applyFill="1" applyBorder="1"/>
    <xf numFmtId="0" fontId="58" fillId="2" borderId="21" xfId="0" applyFont="1" applyFill="1" applyBorder="1"/>
    <xf numFmtId="2" fontId="58" fillId="2" borderId="1" xfId="0" applyNumberFormat="1" applyFont="1" applyFill="1" applyBorder="1" applyAlignment="1">
      <alignment horizontal="center"/>
    </xf>
    <xf numFmtId="0" fontId="58" fillId="2" borderId="1" xfId="0" applyFont="1" applyFill="1" applyBorder="1" applyAlignment="1">
      <alignment horizontal="left"/>
    </xf>
    <xf numFmtId="0" fontId="58" fillId="2" borderId="6" xfId="0" applyFont="1" applyFill="1" applyBorder="1" applyAlignment="1">
      <alignment horizontal="left" vertical="center" wrapText="1"/>
    </xf>
    <xf numFmtId="49" fontId="58" fillId="2" borderId="6" xfId="0" applyNumberFormat="1" applyFont="1" applyFill="1" applyBorder="1" applyAlignment="1">
      <alignment horizontal="center"/>
    </xf>
    <xf numFmtId="0" fontId="58" fillId="2" borderId="6" xfId="0" applyFont="1" applyFill="1" applyBorder="1" applyAlignment="1">
      <alignment horizontal="left"/>
    </xf>
    <xf numFmtId="0" fontId="58" fillId="2" borderId="1" xfId="0" applyFont="1" applyFill="1" applyBorder="1" applyAlignment="1">
      <alignment horizontal="left" vertical="center" wrapText="1"/>
    </xf>
    <xf numFmtId="0" fontId="59" fillId="2" borderId="32" xfId="0" applyFont="1" applyFill="1" applyBorder="1" applyAlignment="1">
      <alignment horizontal="left"/>
    </xf>
    <xf numFmtId="0" fontId="58" fillId="2" borderId="28" xfId="0" applyFont="1" applyFill="1" applyBorder="1"/>
    <xf numFmtId="0" fontId="59" fillId="2" borderId="24" xfId="0" applyFont="1" applyFill="1" applyBorder="1" applyAlignment="1">
      <alignment horizontal="center"/>
    </xf>
    <xf numFmtId="0" fontId="56" fillId="2" borderId="33" xfId="0" applyFont="1" applyFill="1" applyBorder="1"/>
    <xf numFmtId="0" fontId="56" fillId="2" borderId="8" xfId="0" applyFont="1" applyFill="1" applyBorder="1" applyAlignment="1">
      <alignment horizontal="center"/>
    </xf>
    <xf numFmtId="49" fontId="56" fillId="2" borderId="8" xfId="0" applyNumberFormat="1" applyFont="1" applyFill="1" applyBorder="1" applyAlignment="1">
      <alignment horizontal="center"/>
    </xf>
    <xf numFmtId="2" fontId="56" fillId="2" borderId="8" xfId="0" applyNumberFormat="1" applyFont="1" applyFill="1" applyBorder="1" applyAlignment="1">
      <alignment horizontal="center"/>
    </xf>
    <xf numFmtId="1" fontId="56" fillId="2" borderId="6" xfId="0" applyNumberFormat="1" applyFont="1" applyFill="1" applyBorder="1" applyAlignment="1">
      <alignment horizontal="center"/>
    </xf>
    <xf numFmtId="1" fontId="56" fillId="2" borderId="8" xfId="0" applyNumberFormat="1" applyFont="1" applyFill="1" applyBorder="1" applyAlignment="1">
      <alignment horizontal="center"/>
    </xf>
    <xf numFmtId="1" fontId="53" fillId="2" borderId="6" xfId="0" applyNumberFormat="1" applyFont="1" applyFill="1" applyBorder="1" applyAlignment="1">
      <alignment horizontal="center"/>
    </xf>
    <xf numFmtId="0" fontId="58" fillId="2" borderId="4" xfId="0" applyFont="1" applyFill="1" applyBorder="1"/>
    <xf numFmtId="0" fontId="0" fillId="2" borderId="6" xfId="0" applyFill="1" applyBorder="1"/>
    <xf numFmtId="0" fontId="58" fillId="2" borderId="20" xfId="0" applyFont="1" applyFill="1" applyBorder="1"/>
    <xf numFmtId="0" fontId="58" fillId="2" borderId="4" xfId="1" applyNumberFormat="1" applyFont="1" applyFill="1" applyBorder="1" applyAlignment="1">
      <alignment horizontal="center"/>
    </xf>
    <xf numFmtId="49" fontId="58" fillId="2" borderId="2" xfId="0" applyNumberFormat="1" applyFont="1" applyFill="1" applyBorder="1" applyAlignment="1">
      <alignment horizontal="center"/>
    </xf>
    <xf numFmtId="49" fontId="58" fillId="2" borderId="20" xfId="0" applyNumberFormat="1" applyFont="1" applyFill="1" applyBorder="1" applyAlignment="1">
      <alignment horizontal="center"/>
    </xf>
    <xf numFmtId="0" fontId="58" fillId="2" borderId="3" xfId="0" applyFont="1" applyFill="1" applyBorder="1" applyAlignment="1">
      <alignment horizontal="center"/>
    </xf>
    <xf numFmtId="0" fontId="58" fillId="2" borderId="2" xfId="0" applyFont="1" applyFill="1" applyBorder="1" applyAlignment="1">
      <alignment horizontal="left"/>
    </xf>
    <xf numFmtId="1" fontId="58" fillId="2" borderId="2" xfId="0" applyNumberFormat="1" applyFont="1" applyFill="1" applyBorder="1" applyAlignment="1">
      <alignment horizontal="center"/>
    </xf>
    <xf numFmtId="0" fontId="58" fillId="2" borderId="34" xfId="0" applyFont="1" applyFill="1" applyBorder="1" applyAlignment="1">
      <alignment horizontal="center"/>
    </xf>
    <xf numFmtId="0" fontId="58" fillId="2" borderId="35" xfId="0" applyFont="1" applyFill="1" applyBorder="1" applyAlignment="1">
      <alignment horizontal="center"/>
    </xf>
    <xf numFmtId="0" fontId="58" fillId="2" borderId="36" xfId="0" applyFont="1" applyFill="1" applyBorder="1" applyAlignment="1">
      <alignment horizontal="center"/>
    </xf>
    <xf numFmtId="1" fontId="58" fillId="2" borderId="36" xfId="0" applyNumberFormat="1" applyFont="1" applyFill="1" applyBorder="1" applyAlignment="1">
      <alignment horizontal="center"/>
    </xf>
    <xf numFmtId="0" fontId="59" fillId="2" borderId="32" xfId="0" applyFont="1" applyFill="1" applyBorder="1"/>
    <xf numFmtId="0" fontId="59" fillId="2" borderId="14" xfId="0" applyFont="1" applyFill="1" applyBorder="1" applyAlignment="1">
      <alignment horizontal="center"/>
    </xf>
    <xf numFmtId="164" fontId="59" fillId="2" borderId="37" xfId="0" applyNumberFormat="1" applyFont="1" applyFill="1" applyBorder="1" applyAlignment="1">
      <alignment horizontal="center"/>
    </xf>
    <xf numFmtId="0" fontId="59" fillId="2" borderId="0" xfId="0" applyFont="1" applyFill="1" applyBorder="1" applyAlignment="1">
      <alignment horizontal="center"/>
    </xf>
    <xf numFmtId="164" fontId="59" fillId="2" borderId="0" xfId="0" applyNumberFormat="1" applyFont="1" applyFill="1" applyBorder="1" applyAlignment="1">
      <alignment horizontal="center"/>
    </xf>
    <xf numFmtId="1" fontId="59" fillId="2" borderId="0" xfId="0" applyNumberFormat="1" applyFont="1" applyFill="1" applyBorder="1" applyAlignment="1">
      <alignment horizontal="center"/>
    </xf>
    <xf numFmtId="0" fontId="51" fillId="2" borderId="0" xfId="0" applyFont="1" applyFill="1" applyBorder="1"/>
    <xf numFmtId="1" fontId="0" fillId="2" borderId="0" xfId="0" applyNumberFormat="1" applyFill="1"/>
    <xf numFmtId="0" fontId="50" fillId="2" borderId="0" xfId="0" applyFont="1" applyFill="1" applyBorder="1" applyAlignment="1">
      <alignment horizontal="left"/>
    </xf>
    <xf numFmtId="0" fontId="53" fillId="2" borderId="0" xfId="0" applyFont="1" applyFill="1" applyBorder="1" applyAlignment="1"/>
    <xf numFmtId="0" fontId="0" fillId="2" borderId="0" xfId="0" applyFill="1" applyAlignment="1"/>
    <xf numFmtId="0" fontId="50" fillId="0" borderId="0" xfId="0" applyFont="1" applyFill="1" applyBorder="1" applyAlignment="1">
      <alignment horizontal="left"/>
    </xf>
    <xf numFmtId="0" fontId="50" fillId="0" borderId="0" xfId="0" applyFont="1" applyFill="1" applyAlignment="1">
      <alignment horizontal="left"/>
    </xf>
    <xf numFmtId="0" fontId="0" fillId="0" borderId="0" xfId="0" applyFont="1" applyFill="1" applyBorder="1"/>
  </cellXfs>
  <cellStyles count="5">
    <cellStyle name="Name3" xfId="3"/>
    <cellStyle name="Name4" xfId="4"/>
    <cellStyle name="Обычный" xfId="0" builtinId="0"/>
    <cellStyle name="Обычный 2" xfId="2"/>
    <cellStyle name="Процентный" xfId="1" builtinId="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C142"/>
  <sheetViews>
    <sheetView topLeftCell="F1" workbookViewId="0">
      <selection activeCell="P17" sqref="P17"/>
    </sheetView>
  </sheetViews>
  <sheetFormatPr defaultRowHeight="15"/>
  <cols>
    <col min="1" max="1" width="10.7109375" hidden="1" customWidth="1"/>
    <col min="2" max="2" width="10.7109375" customWidth="1"/>
    <col min="3" max="3" width="9.5703125" customWidth="1"/>
    <col min="4" max="4" width="12.42578125" customWidth="1"/>
    <col min="5" max="5" width="9.85546875" customWidth="1"/>
    <col min="6" max="6" width="10.85546875" customWidth="1"/>
    <col min="7" max="7" width="64.85546875" customWidth="1"/>
    <col min="8" max="8" width="16" customWidth="1"/>
    <col min="9" max="9" width="12.140625" customWidth="1"/>
    <col min="10" max="10" width="12.85546875" customWidth="1"/>
    <col min="11" max="11" width="13.28515625" style="3" customWidth="1"/>
    <col min="12" max="12" width="12.85546875" style="3" customWidth="1"/>
    <col min="13" max="13" width="14.85546875" style="3" customWidth="1"/>
    <col min="14" max="14" width="15.140625" style="4" customWidth="1"/>
    <col min="15" max="15" width="13.5703125" style="2" customWidth="1"/>
    <col min="16" max="16" width="12.7109375" style="2" customWidth="1"/>
    <col min="17" max="17" width="12.7109375" style="3" customWidth="1"/>
    <col min="18" max="18" width="13.140625" style="2" customWidth="1"/>
    <col min="19" max="19" width="14.42578125" style="3" customWidth="1"/>
    <col min="20" max="20" width="15" customWidth="1"/>
    <col min="21" max="22" width="0.28515625" hidden="1" customWidth="1"/>
    <col min="23" max="23" width="11.28515625" style="5" customWidth="1"/>
    <col min="24" max="24" width="11.42578125" customWidth="1"/>
    <col min="25" max="25" width="11.5703125" customWidth="1"/>
    <col min="26" max="26" width="12.7109375" customWidth="1"/>
    <col min="27" max="27" width="14.42578125" customWidth="1"/>
    <col min="28" max="28" width="13.7109375" bestFit="1" customWidth="1"/>
    <col min="29" max="29" width="13.7109375" style="3" bestFit="1" customWidth="1"/>
    <col min="30" max="34" width="13.7109375" bestFit="1" customWidth="1"/>
    <col min="35" max="35" width="11.7109375" bestFit="1" customWidth="1"/>
    <col min="36" max="36" width="15.85546875" bestFit="1" customWidth="1"/>
    <col min="37" max="37" width="21.140625" bestFit="1" customWidth="1"/>
    <col min="38" max="44" width="11.5703125" bestFit="1" customWidth="1"/>
  </cols>
  <sheetData>
    <row r="1" spans="2:21" ht="3.75" customHeight="1">
      <c r="B1" s="1"/>
      <c r="C1" s="2"/>
      <c r="D1" s="2"/>
      <c r="E1" s="2"/>
      <c r="F1" s="2"/>
      <c r="G1" s="2"/>
      <c r="H1" s="2"/>
      <c r="I1" s="3"/>
      <c r="J1" s="3"/>
      <c r="T1" s="2"/>
    </row>
    <row r="2" spans="2:21" hidden="1">
      <c r="B2" s="1"/>
      <c r="C2" s="2"/>
      <c r="D2" s="2"/>
      <c r="E2" s="2"/>
      <c r="F2" s="2"/>
      <c r="G2" s="2"/>
      <c r="H2" s="2"/>
      <c r="I2" s="2"/>
      <c r="J2" s="2"/>
      <c r="T2" s="2"/>
      <c r="U2" s="2"/>
    </row>
    <row r="3" spans="2:21" ht="15.75" hidden="1" customHeight="1">
      <c r="B3" s="2"/>
      <c r="C3" s="2"/>
      <c r="D3" s="6"/>
      <c r="E3" s="7"/>
      <c r="F3" s="7"/>
      <c r="G3" s="7"/>
      <c r="H3" s="7"/>
      <c r="I3" s="8"/>
      <c r="J3" s="8"/>
      <c r="K3" s="9"/>
      <c r="L3" s="9"/>
      <c r="M3" s="9"/>
      <c r="N3" s="9"/>
      <c r="O3" s="10"/>
      <c r="P3" s="11"/>
      <c r="Q3" s="11"/>
      <c r="R3" s="11"/>
      <c r="S3" s="11"/>
      <c r="T3" s="8"/>
      <c r="U3" s="2"/>
    </row>
    <row r="4" spans="2:21" ht="15.75" hidden="1">
      <c r="B4" s="12"/>
      <c r="C4" s="12"/>
      <c r="D4" s="12"/>
      <c r="E4" s="12"/>
      <c r="F4" s="12"/>
      <c r="G4" s="12"/>
      <c r="H4" s="7"/>
      <c r="I4" s="13"/>
      <c r="J4" s="13"/>
      <c r="K4" s="14"/>
      <c r="L4" s="15"/>
      <c r="M4" s="16"/>
      <c r="N4" s="16"/>
      <c r="O4" s="17"/>
      <c r="P4" s="11"/>
      <c r="Q4" s="11"/>
      <c r="R4" s="11"/>
      <c r="S4" s="11"/>
      <c r="T4" s="18"/>
      <c r="U4" s="2"/>
    </row>
    <row r="5" spans="2:21" ht="15.75" hidden="1">
      <c r="B5" s="19"/>
      <c r="C5" s="19"/>
      <c r="D5" s="19"/>
      <c r="E5" s="19"/>
      <c r="F5" s="19"/>
      <c r="G5" s="20"/>
      <c r="H5" s="20"/>
      <c r="I5" s="13"/>
      <c r="J5" s="13"/>
      <c r="K5" s="15"/>
      <c r="L5" s="15"/>
      <c r="M5" s="21" t="s">
        <v>0</v>
      </c>
      <c r="N5" s="16"/>
      <c r="O5" s="17"/>
      <c r="P5" s="11"/>
      <c r="Q5" s="11"/>
      <c r="R5" s="11"/>
      <c r="S5" s="11"/>
      <c r="T5" s="18"/>
      <c r="U5" s="2"/>
    </row>
    <row r="6" spans="2:21" ht="15.75" hidden="1">
      <c r="B6" s="22"/>
      <c r="C6" s="22"/>
      <c r="D6" s="22"/>
      <c r="E6" s="22"/>
      <c r="F6" s="20"/>
      <c r="G6" s="13"/>
      <c r="H6" s="13"/>
      <c r="I6" s="13"/>
      <c r="J6" s="13"/>
      <c r="K6" s="15"/>
      <c r="L6" s="15"/>
      <c r="M6" s="16"/>
      <c r="N6" s="16"/>
      <c r="O6" s="17"/>
      <c r="P6" s="11"/>
      <c r="Q6" s="11"/>
      <c r="R6" s="11"/>
      <c r="S6" s="11"/>
      <c r="T6" s="18"/>
      <c r="U6" s="2"/>
    </row>
    <row r="8" spans="2:21" ht="21">
      <c r="P8" s="23" t="s">
        <v>1</v>
      </c>
      <c r="Q8" s="23"/>
      <c r="R8" s="23"/>
      <c r="S8" s="23"/>
      <c r="T8" s="24"/>
    </row>
    <row r="9" spans="2:21" ht="21">
      <c r="P9" s="23"/>
      <c r="Q9" s="23"/>
      <c r="R9" s="23"/>
      <c r="S9" s="23"/>
      <c r="T9" s="24"/>
    </row>
    <row r="10" spans="2:21" ht="21">
      <c r="P10" s="23"/>
      <c r="Q10" s="23"/>
      <c r="R10" s="23"/>
      <c r="S10" s="23"/>
      <c r="T10" s="24"/>
    </row>
    <row r="11" spans="2:21" ht="20.25">
      <c r="B11" s="25"/>
      <c r="C11" s="25"/>
      <c r="D11" s="25"/>
      <c r="E11" s="25"/>
      <c r="F11" s="25"/>
      <c r="G11" s="25"/>
      <c r="H11" s="25"/>
      <c r="I11" s="25"/>
      <c r="J11" s="25"/>
      <c r="K11" s="26"/>
      <c r="L11" s="26"/>
      <c r="M11" s="26"/>
      <c r="N11" s="26"/>
      <c r="O11" s="27"/>
      <c r="P11" s="23"/>
      <c r="Q11" s="23"/>
      <c r="R11" s="23"/>
      <c r="S11" s="23"/>
      <c r="T11" s="28"/>
    </row>
    <row r="12" spans="2:21" ht="20.25">
      <c r="B12" s="29"/>
      <c r="C12" s="30"/>
      <c r="D12" s="30"/>
      <c r="E12" s="30"/>
      <c r="F12" s="30"/>
      <c r="G12" s="27"/>
      <c r="H12" s="30"/>
      <c r="I12" s="30"/>
      <c r="J12" s="30"/>
      <c r="K12" s="31"/>
      <c r="L12" s="31"/>
      <c r="M12" s="31"/>
      <c r="N12" s="31"/>
      <c r="O12" s="32"/>
      <c r="P12" s="33" t="s">
        <v>2</v>
      </c>
      <c r="Q12" s="34"/>
      <c r="R12" s="35"/>
      <c r="S12" s="36"/>
      <c r="T12" s="37"/>
    </row>
    <row r="13" spans="2:21" ht="20.25">
      <c r="B13" s="29"/>
      <c r="C13" s="30"/>
      <c r="D13" s="30"/>
      <c r="E13" s="30"/>
      <c r="F13" s="30"/>
      <c r="G13" s="30"/>
      <c r="H13" s="30"/>
      <c r="I13" s="30"/>
      <c r="J13" s="30"/>
      <c r="K13" s="31"/>
      <c r="L13" s="31"/>
      <c r="M13" s="31"/>
      <c r="N13" s="31"/>
      <c r="O13" s="32"/>
      <c r="P13" s="38" t="s">
        <v>3</v>
      </c>
      <c r="Q13" s="38"/>
      <c r="R13" s="38"/>
      <c r="S13" s="38"/>
      <c r="T13" s="38"/>
    </row>
    <row r="14" spans="2:21" ht="20.25">
      <c r="B14" s="29"/>
      <c r="C14" s="30"/>
      <c r="D14" s="30"/>
      <c r="E14" s="30"/>
      <c r="F14" s="30"/>
      <c r="G14" s="30"/>
      <c r="H14" s="30"/>
      <c r="I14" s="30"/>
      <c r="J14" s="30"/>
      <c r="K14" s="31"/>
      <c r="L14" s="31"/>
      <c r="M14" s="31"/>
      <c r="N14" s="31"/>
      <c r="O14" s="32"/>
      <c r="P14" s="35" t="s">
        <v>596</v>
      </c>
      <c r="Q14" s="36"/>
      <c r="R14" s="35"/>
      <c r="S14" s="36"/>
      <c r="T14" s="37"/>
    </row>
    <row r="15" spans="2:21" ht="20.25">
      <c r="B15" s="29"/>
      <c r="C15" s="30"/>
      <c r="D15" s="30"/>
      <c r="E15" s="30"/>
      <c r="F15" s="30"/>
      <c r="G15" s="30"/>
      <c r="H15" s="30"/>
      <c r="I15" s="30"/>
      <c r="J15" s="30"/>
      <c r="K15" s="31"/>
      <c r="L15" s="39"/>
      <c r="M15" s="39"/>
      <c r="N15" s="39"/>
      <c r="O15" s="40"/>
      <c r="P15" s="41" t="s">
        <v>71</v>
      </c>
      <c r="Q15" s="42"/>
      <c r="R15" s="42"/>
      <c r="S15" s="42"/>
      <c r="T15" s="43"/>
    </row>
    <row r="16" spans="2:21" ht="54.75" customHeight="1">
      <c r="B16" s="44" t="s">
        <v>6</v>
      </c>
      <c r="C16" s="44"/>
      <c r="D16" s="44"/>
      <c r="E16" s="44"/>
      <c r="F16" s="44"/>
      <c r="G16" s="44"/>
      <c r="H16" s="44"/>
      <c r="I16" s="44"/>
      <c r="J16" s="44"/>
      <c r="K16" s="44"/>
      <c r="L16" s="44"/>
      <c r="M16" s="44"/>
      <c r="N16" s="44"/>
      <c r="O16" s="44"/>
      <c r="P16" s="44"/>
      <c r="Q16" s="44"/>
      <c r="R16" s="44"/>
      <c r="S16" s="44"/>
      <c r="T16" s="44"/>
    </row>
    <row r="17" spans="2:22" ht="36" customHeight="1">
      <c r="B17" s="45" t="s">
        <v>7</v>
      </c>
      <c r="C17" s="30"/>
      <c r="D17" s="30"/>
      <c r="E17" s="30"/>
      <c r="F17" s="30"/>
      <c r="G17" s="30"/>
      <c r="H17" s="30"/>
      <c r="I17" s="30"/>
      <c r="J17" s="30"/>
      <c r="K17" s="31"/>
      <c r="L17" s="46"/>
      <c r="M17" s="46"/>
      <c r="N17" s="47"/>
      <c r="O17" s="48"/>
      <c r="P17" s="48"/>
      <c r="Q17" s="46"/>
      <c r="R17" s="48"/>
      <c r="S17" s="46"/>
      <c r="T17" s="48"/>
    </row>
    <row r="18" spans="2:22" ht="18.75">
      <c r="B18" s="49" t="s">
        <v>8</v>
      </c>
      <c r="C18" s="49"/>
      <c r="D18" s="49"/>
      <c r="E18" s="49"/>
      <c r="F18" s="49"/>
      <c r="G18" s="49"/>
      <c r="H18" s="30"/>
      <c r="I18" s="30"/>
      <c r="J18" s="30"/>
      <c r="K18" s="31"/>
      <c r="L18" s="46"/>
      <c r="M18" s="46"/>
      <c r="N18" s="47"/>
      <c r="O18" s="48"/>
      <c r="P18" s="48"/>
      <c r="Q18" s="46"/>
      <c r="R18" s="48"/>
      <c r="S18" s="46"/>
      <c r="T18" s="48"/>
    </row>
    <row r="19" spans="2:22" ht="18.75">
      <c r="B19" s="50" t="s">
        <v>9</v>
      </c>
      <c r="C19" s="50"/>
      <c r="D19" s="50"/>
      <c r="E19" s="50"/>
      <c r="F19" s="50"/>
      <c r="G19" s="30"/>
      <c r="H19" s="30"/>
      <c r="I19" s="30"/>
      <c r="J19" s="30"/>
      <c r="K19" s="31"/>
      <c r="L19" s="46"/>
      <c r="M19" s="46"/>
      <c r="N19" s="47"/>
      <c r="O19" s="48"/>
      <c r="P19" s="48"/>
      <c r="Q19" s="46"/>
      <c r="R19" s="48"/>
      <c r="S19" s="46"/>
      <c r="T19" s="48"/>
    </row>
    <row r="20" spans="2:22" ht="18.75">
      <c r="B20" s="49" t="s">
        <v>10</v>
      </c>
      <c r="C20" s="49"/>
      <c r="D20" s="49"/>
      <c r="E20" s="49"/>
      <c r="F20" s="49"/>
      <c r="G20" s="49"/>
      <c r="H20" s="30"/>
      <c r="I20" s="30"/>
      <c r="J20" s="30"/>
      <c r="K20" s="31"/>
      <c r="L20" s="46"/>
      <c r="M20" s="46"/>
      <c r="N20" s="47"/>
      <c r="O20" s="48"/>
      <c r="P20" s="48"/>
      <c r="Q20" s="46"/>
      <c r="R20" s="48"/>
      <c r="S20" s="46"/>
      <c r="T20" s="48"/>
    </row>
    <row r="21" spans="2:22" ht="18.75">
      <c r="B21" s="45" t="s">
        <v>11</v>
      </c>
      <c r="C21" s="30"/>
      <c r="D21" s="30"/>
      <c r="E21" s="30"/>
      <c r="F21" s="30"/>
      <c r="G21" s="30"/>
      <c r="H21" s="30"/>
      <c r="I21" s="30"/>
      <c r="J21" s="30"/>
      <c r="K21" s="31"/>
      <c r="L21" s="46"/>
      <c r="M21" s="46"/>
      <c r="N21" s="47"/>
      <c r="O21" s="48"/>
      <c r="P21" s="48"/>
      <c r="Q21" s="46"/>
      <c r="R21" s="48"/>
      <c r="S21" s="46"/>
      <c r="T21" s="48"/>
    </row>
    <row r="22" spans="2:22" ht="18.75">
      <c r="B22" s="45" t="s">
        <v>12</v>
      </c>
      <c r="C22" s="45"/>
      <c r="D22" s="45"/>
      <c r="E22" s="45"/>
      <c r="F22" s="45"/>
      <c r="G22" s="45"/>
      <c r="H22" s="45"/>
      <c r="I22" s="45"/>
      <c r="J22" s="30"/>
      <c r="K22" s="31"/>
      <c r="L22" s="46"/>
      <c r="M22" s="46"/>
      <c r="N22" s="47"/>
      <c r="O22" s="48"/>
      <c r="P22" s="48"/>
      <c r="Q22" s="46"/>
      <c r="R22" s="48"/>
      <c r="S22" s="46"/>
      <c r="T22" s="48"/>
    </row>
    <row r="23" spans="2:22" ht="18.75" customHeight="1">
      <c r="B23" s="29"/>
      <c r="C23" s="51"/>
      <c r="D23" s="51"/>
      <c r="E23" s="51"/>
      <c r="F23" s="51"/>
      <c r="G23" s="51"/>
      <c r="H23" s="51"/>
      <c r="I23" s="51"/>
      <c r="J23" s="51"/>
      <c r="K23" s="52"/>
      <c r="L23" s="52"/>
      <c r="M23" s="52"/>
      <c r="N23" s="52"/>
      <c r="O23" s="51"/>
      <c r="P23" s="51"/>
      <c r="Q23" s="52"/>
      <c r="R23" s="51"/>
      <c r="S23" s="52"/>
      <c r="T23" s="53" t="s">
        <v>13</v>
      </c>
    </row>
    <row r="24" spans="2:22" ht="18.75" customHeight="1">
      <c r="B24" s="54" t="s">
        <v>14</v>
      </c>
      <c r="C24" s="54" t="s">
        <v>15</v>
      </c>
      <c r="D24" s="55" t="s">
        <v>16</v>
      </c>
      <c r="E24" s="55" t="s">
        <v>17</v>
      </c>
      <c r="F24" s="55" t="s">
        <v>18</v>
      </c>
      <c r="G24" s="56" t="s">
        <v>19</v>
      </c>
      <c r="H24" s="57" t="s">
        <v>20</v>
      </c>
      <c r="I24" s="58" t="s">
        <v>21</v>
      </c>
      <c r="J24" s="59"/>
      <c r="K24" s="59"/>
      <c r="L24" s="59"/>
      <c r="M24" s="59"/>
      <c r="N24" s="59"/>
      <c r="O24" s="59"/>
      <c r="P24" s="59"/>
      <c r="Q24" s="59"/>
      <c r="R24" s="59"/>
      <c r="S24" s="59"/>
      <c r="T24" s="60"/>
    </row>
    <row r="25" spans="2:22" ht="37.5">
      <c r="B25" s="61"/>
      <c r="C25" s="61"/>
      <c r="D25" s="62"/>
      <c r="E25" s="62"/>
      <c r="F25" s="62"/>
      <c r="G25" s="63"/>
      <c r="H25" s="64"/>
      <c r="I25" s="65" t="s">
        <v>22</v>
      </c>
      <c r="J25" s="65" t="s">
        <v>23</v>
      </c>
      <c r="K25" s="66" t="s">
        <v>24</v>
      </c>
      <c r="L25" s="66" t="s">
        <v>25</v>
      </c>
      <c r="M25" s="66" t="s">
        <v>26</v>
      </c>
      <c r="N25" s="66" t="s">
        <v>27</v>
      </c>
      <c r="O25" s="65" t="s">
        <v>28</v>
      </c>
      <c r="P25" s="65" t="s">
        <v>29</v>
      </c>
      <c r="Q25" s="66" t="s">
        <v>30</v>
      </c>
      <c r="R25" s="65" t="s">
        <v>31</v>
      </c>
      <c r="S25" s="66" t="s">
        <v>32</v>
      </c>
      <c r="T25" s="65" t="s">
        <v>33</v>
      </c>
    </row>
    <row r="26" spans="2:22" ht="37.5">
      <c r="B26" s="67"/>
      <c r="C26" s="68"/>
      <c r="D26" s="68"/>
      <c r="E26" s="68"/>
      <c r="F26" s="68"/>
      <c r="G26" s="69" t="s">
        <v>34</v>
      </c>
      <c r="H26" s="65"/>
      <c r="I26" s="65"/>
      <c r="J26" s="65"/>
      <c r="K26" s="66"/>
      <c r="L26" s="66"/>
      <c r="M26" s="66"/>
      <c r="N26" s="66"/>
      <c r="O26" s="65"/>
      <c r="P26" s="65"/>
      <c r="Q26" s="66"/>
      <c r="R26" s="65"/>
      <c r="S26" s="66"/>
      <c r="T26" s="65"/>
    </row>
    <row r="27" spans="2:22" ht="18.75">
      <c r="B27" s="67"/>
      <c r="C27" s="68">
        <v>261</v>
      </c>
      <c r="D27" s="68"/>
      <c r="E27" s="68"/>
      <c r="F27" s="68"/>
      <c r="G27" s="69" t="s">
        <v>35</v>
      </c>
      <c r="H27" s="70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2"/>
    </row>
    <row r="28" spans="2:22" ht="18.75">
      <c r="B28" s="73"/>
      <c r="C28" s="74"/>
      <c r="D28" s="75" t="s">
        <v>36</v>
      </c>
      <c r="E28" s="74"/>
      <c r="F28" s="76"/>
      <c r="G28" s="77" t="s">
        <v>37</v>
      </c>
      <c r="H28" s="78"/>
      <c r="I28" s="78"/>
      <c r="J28" s="78"/>
      <c r="K28" s="78"/>
      <c r="L28" s="78"/>
      <c r="M28" s="78"/>
      <c r="N28" s="78"/>
      <c r="O28" s="78"/>
      <c r="P28" s="78"/>
      <c r="Q28" s="78"/>
      <c r="R28" s="78"/>
      <c r="S28" s="78"/>
      <c r="T28" s="78"/>
    </row>
    <row r="29" spans="2:22" ht="37.5">
      <c r="B29" s="73"/>
      <c r="C29" s="74"/>
      <c r="D29" s="75"/>
      <c r="E29" s="75" t="s">
        <v>38</v>
      </c>
      <c r="F29" s="76"/>
      <c r="G29" s="79" t="s">
        <v>39</v>
      </c>
      <c r="H29" s="78">
        <f>H30+H31+H32+H33+H34</f>
        <v>150596</v>
      </c>
      <c r="I29" s="78">
        <f t="shared" ref="I29:T29" si="0">I30+I31+I32+I33+I34</f>
        <v>12348</v>
      </c>
      <c r="J29" s="78">
        <f t="shared" si="0"/>
        <v>12348</v>
      </c>
      <c r="K29" s="78">
        <f t="shared" si="0"/>
        <v>12641</v>
      </c>
      <c r="L29" s="78">
        <f t="shared" si="0"/>
        <v>12444</v>
      </c>
      <c r="M29" s="78">
        <f t="shared" si="0"/>
        <v>21008</v>
      </c>
      <c r="N29" s="78">
        <f t="shared" si="0"/>
        <v>10350</v>
      </c>
      <c r="O29" s="78">
        <f t="shared" si="0"/>
        <v>1821</v>
      </c>
      <c r="P29" s="78">
        <f t="shared" si="0"/>
        <v>12189</v>
      </c>
      <c r="Q29" s="78">
        <f t="shared" si="0"/>
        <v>13861</v>
      </c>
      <c r="R29" s="78">
        <f t="shared" si="0"/>
        <v>13861</v>
      </c>
      <c r="S29" s="78">
        <f t="shared" si="0"/>
        <v>13861</v>
      </c>
      <c r="T29" s="78">
        <f t="shared" si="0"/>
        <v>13864</v>
      </c>
      <c r="U29" s="78">
        <f t="shared" ref="U29:V29" si="1">U30+U31+U32+U33+U34+U37+U38</f>
        <v>6322</v>
      </c>
      <c r="V29" s="78">
        <f t="shared" si="1"/>
        <v>6322</v>
      </c>
    </row>
    <row r="30" spans="2:22" ht="18.75">
      <c r="B30" s="73"/>
      <c r="C30" s="74"/>
      <c r="D30" s="75"/>
      <c r="E30" s="74"/>
      <c r="F30" s="76">
        <v>111</v>
      </c>
      <c r="G30" s="80" t="s">
        <v>40</v>
      </c>
      <c r="H30" s="81">
        <f>SUM(I30:T30)</f>
        <v>133311</v>
      </c>
      <c r="I30" s="81">
        <f>I36+I41+I47</f>
        <v>11174</v>
      </c>
      <c r="J30" s="81">
        <f t="shared" ref="J30:T30" si="2">J36+J41+J47</f>
        <v>11174</v>
      </c>
      <c r="K30" s="81">
        <f t="shared" si="2"/>
        <v>11438</v>
      </c>
      <c r="L30" s="81">
        <f t="shared" si="2"/>
        <v>11260</v>
      </c>
      <c r="M30" s="81">
        <f t="shared" si="2"/>
        <v>16829</v>
      </c>
      <c r="N30" s="81">
        <f t="shared" si="2"/>
        <v>8908</v>
      </c>
      <c r="O30" s="81">
        <f t="shared" si="2"/>
        <v>1490</v>
      </c>
      <c r="P30" s="81">
        <f t="shared" si="2"/>
        <v>10864</v>
      </c>
      <c r="Q30" s="81">
        <f t="shared" si="2"/>
        <v>12542</v>
      </c>
      <c r="R30" s="81">
        <f t="shared" si="2"/>
        <v>12543</v>
      </c>
      <c r="S30" s="81">
        <f t="shared" si="2"/>
        <v>12543</v>
      </c>
      <c r="T30" s="81">
        <f t="shared" si="2"/>
        <v>12546</v>
      </c>
      <c r="U30" s="81">
        <f t="shared" ref="U30:V30" si="3">U40+U45+U51</f>
        <v>5509</v>
      </c>
      <c r="V30" s="81">
        <f t="shared" si="3"/>
        <v>5509</v>
      </c>
    </row>
    <row r="31" spans="2:22" ht="18.75">
      <c r="B31" s="73"/>
      <c r="C31" s="74"/>
      <c r="D31" s="75"/>
      <c r="E31" s="74"/>
      <c r="F31" s="76">
        <v>113</v>
      </c>
      <c r="G31" s="82" t="s">
        <v>41</v>
      </c>
      <c r="H31" s="81">
        <f t="shared" ref="H31:H34" si="4">SUM(I31:T31)</f>
        <v>3260</v>
      </c>
      <c r="I31" s="81">
        <f>I42</f>
        <v>0</v>
      </c>
      <c r="J31" s="81">
        <f t="shared" ref="J31:S31" si="5">J42</f>
        <v>0</v>
      </c>
      <c r="K31" s="81">
        <f t="shared" si="5"/>
        <v>0</v>
      </c>
      <c r="L31" s="81">
        <f t="shared" si="5"/>
        <v>0</v>
      </c>
      <c r="M31" s="81">
        <f t="shared" si="5"/>
        <v>2404</v>
      </c>
      <c r="N31" s="81">
        <f t="shared" si="5"/>
        <v>503</v>
      </c>
      <c r="O31" s="81">
        <f t="shared" si="5"/>
        <v>174</v>
      </c>
      <c r="P31" s="81">
        <f t="shared" si="5"/>
        <v>179</v>
      </c>
      <c r="Q31" s="81">
        <f t="shared" si="5"/>
        <v>0</v>
      </c>
      <c r="R31" s="81">
        <f t="shared" si="5"/>
        <v>0</v>
      </c>
      <c r="S31" s="81">
        <f t="shared" si="5"/>
        <v>0</v>
      </c>
      <c r="T31" s="81">
        <f>T42</f>
        <v>0</v>
      </c>
    </row>
    <row r="32" spans="2:22" ht="18.75">
      <c r="B32" s="73"/>
      <c r="C32" s="74"/>
      <c r="D32" s="75"/>
      <c r="E32" s="74"/>
      <c r="F32" s="76">
        <v>121</v>
      </c>
      <c r="G32" s="80" t="s">
        <v>42</v>
      </c>
      <c r="H32" s="81">
        <f t="shared" si="4"/>
        <v>7180</v>
      </c>
      <c r="I32" s="81">
        <f>I37+I43+I48</f>
        <v>601</v>
      </c>
      <c r="J32" s="81">
        <f t="shared" ref="J32:T32" si="6">J37+J43+J48</f>
        <v>601</v>
      </c>
      <c r="K32" s="81">
        <f t="shared" si="6"/>
        <v>615</v>
      </c>
      <c r="L32" s="81">
        <f t="shared" si="6"/>
        <v>606</v>
      </c>
      <c r="M32" s="81">
        <f t="shared" si="6"/>
        <v>909</v>
      </c>
      <c r="N32" s="81">
        <f t="shared" si="6"/>
        <v>481</v>
      </c>
      <c r="O32" s="81">
        <f t="shared" si="6"/>
        <v>80</v>
      </c>
      <c r="P32" s="81">
        <f t="shared" si="6"/>
        <v>586</v>
      </c>
      <c r="Q32" s="81">
        <f t="shared" si="6"/>
        <v>676</v>
      </c>
      <c r="R32" s="81">
        <f t="shared" si="6"/>
        <v>675</v>
      </c>
      <c r="S32" s="81">
        <f t="shared" si="6"/>
        <v>675</v>
      </c>
      <c r="T32" s="81">
        <f t="shared" si="6"/>
        <v>675</v>
      </c>
      <c r="U32" s="81">
        <f t="shared" ref="U32:V34" si="7">U41+U47+U52</f>
        <v>529</v>
      </c>
      <c r="V32" s="81">
        <f t="shared" si="7"/>
        <v>529</v>
      </c>
    </row>
    <row r="33" spans="1:29" ht="37.5">
      <c r="B33" s="73"/>
      <c r="C33" s="74"/>
      <c r="D33" s="75"/>
      <c r="E33" s="74"/>
      <c r="F33" s="76">
        <v>122</v>
      </c>
      <c r="G33" s="80" t="s">
        <v>43</v>
      </c>
      <c r="H33" s="81">
        <f t="shared" si="4"/>
        <v>4183</v>
      </c>
      <c r="I33" s="81">
        <f t="shared" ref="I33:T34" si="8">I38+I44+I49</f>
        <v>350</v>
      </c>
      <c r="J33" s="81">
        <f t="shared" si="8"/>
        <v>350</v>
      </c>
      <c r="K33" s="81">
        <f t="shared" si="8"/>
        <v>359</v>
      </c>
      <c r="L33" s="81">
        <f t="shared" si="8"/>
        <v>353</v>
      </c>
      <c r="M33" s="81">
        <f t="shared" si="8"/>
        <v>530</v>
      </c>
      <c r="N33" s="81">
        <f t="shared" si="8"/>
        <v>280</v>
      </c>
      <c r="O33" s="81">
        <f t="shared" si="8"/>
        <v>47</v>
      </c>
      <c r="P33" s="81">
        <f t="shared" si="8"/>
        <v>342</v>
      </c>
      <c r="Q33" s="81">
        <f t="shared" si="8"/>
        <v>393</v>
      </c>
      <c r="R33" s="81">
        <f t="shared" si="8"/>
        <v>393</v>
      </c>
      <c r="S33" s="81">
        <f t="shared" si="8"/>
        <v>393</v>
      </c>
      <c r="T33" s="81">
        <f t="shared" si="8"/>
        <v>393</v>
      </c>
      <c r="U33" s="81">
        <f t="shared" si="7"/>
        <v>177</v>
      </c>
      <c r="V33" s="81">
        <f t="shared" si="7"/>
        <v>177</v>
      </c>
    </row>
    <row r="34" spans="1:29" s="5" customFormat="1" ht="37.5">
      <c r="A34"/>
      <c r="B34" s="73"/>
      <c r="C34" s="74"/>
      <c r="D34" s="75"/>
      <c r="E34" s="74"/>
      <c r="F34" s="76">
        <v>124</v>
      </c>
      <c r="G34" s="83" t="s">
        <v>44</v>
      </c>
      <c r="H34" s="81">
        <f t="shared" si="4"/>
        <v>2662</v>
      </c>
      <c r="I34" s="81">
        <f t="shared" si="8"/>
        <v>223</v>
      </c>
      <c r="J34" s="81">
        <f t="shared" si="8"/>
        <v>223</v>
      </c>
      <c r="K34" s="81">
        <f t="shared" si="8"/>
        <v>229</v>
      </c>
      <c r="L34" s="81">
        <f t="shared" si="8"/>
        <v>225</v>
      </c>
      <c r="M34" s="81">
        <f t="shared" si="8"/>
        <v>336</v>
      </c>
      <c r="N34" s="81">
        <f t="shared" si="8"/>
        <v>178</v>
      </c>
      <c r="O34" s="81">
        <f t="shared" si="8"/>
        <v>30</v>
      </c>
      <c r="P34" s="81">
        <f t="shared" si="8"/>
        <v>218</v>
      </c>
      <c r="Q34" s="81">
        <f t="shared" si="8"/>
        <v>250</v>
      </c>
      <c r="R34" s="81">
        <f t="shared" si="8"/>
        <v>250</v>
      </c>
      <c r="S34" s="81">
        <f t="shared" si="8"/>
        <v>250</v>
      </c>
      <c r="T34" s="81">
        <f t="shared" si="8"/>
        <v>250</v>
      </c>
      <c r="U34" s="81">
        <f t="shared" si="7"/>
        <v>107</v>
      </c>
      <c r="V34" s="81">
        <f t="shared" si="7"/>
        <v>107</v>
      </c>
      <c r="X34"/>
      <c r="Y34"/>
      <c r="Z34"/>
      <c r="AA34"/>
      <c r="AB34"/>
      <c r="AC34" s="3"/>
    </row>
    <row r="35" spans="1:29" s="5" customFormat="1" ht="56.25">
      <c r="A35"/>
      <c r="B35" s="65" t="s">
        <v>45</v>
      </c>
      <c r="C35" s="68"/>
      <c r="D35" s="84" t="s">
        <v>36</v>
      </c>
      <c r="E35" s="84" t="s">
        <v>38</v>
      </c>
      <c r="F35" s="85"/>
      <c r="G35" s="86" t="s">
        <v>46</v>
      </c>
      <c r="H35" s="87">
        <f>H36+H37+H38+H39</f>
        <v>57657</v>
      </c>
      <c r="I35" s="88">
        <f>I36+I37+I38+I39</f>
        <v>4511</v>
      </c>
      <c r="J35" s="88">
        <f t="shared" ref="J35:Q35" si="9">J36+J37+J38+J39</f>
        <v>4511</v>
      </c>
      <c r="K35" s="88">
        <f t="shared" si="9"/>
        <v>4510</v>
      </c>
      <c r="L35" s="88">
        <f t="shared" si="9"/>
        <v>4511</v>
      </c>
      <c r="M35" s="88">
        <f t="shared" si="9"/>
        <v>7695</v>
      </c>
      <c r="N35" s="88">
        <f t="shared" si="9"/>
        <v>3884</v>
      </c>
      <c r="O35" s="88">
        <f t="shared" si="9"/>
        <v>1028</v>
      </c>
      <c r="P35" s="88">
        <f t="shared" si="9"/>
        <v>4511</v>
      </c>
      <c r="Q35" s="87">
        <f t="shared" si="9"/>
        <v>5624</v>
      </c>
      <c r="R35" s="87">
        <f>R36+R37+R38+R39</f>
        <v>5624</v>
      </c>
      <c r="S35" s="87">
        <f>S36+S37+S38+S39</f>
        <v>5624</v>
      </c>
      <c r="T35" s="87">
        <f>T36+T37+T38+T39</f>
        <v>5624</v>
      </c>
      <c r="U35" s="81"/>
      <c r="V35" s="81"/>
      <c r="X35"/>
      <c r="Y35"/>
      <c r="Z35"/>
      <c r="AA35"/>
      <c r="AB35"/>
      <c r="AC35" s="3"/>
    </row>
    <row r="36" spans="1:29" s="5" customFormat="1" ht="18.75">
      <c r="A36"/>
      <c r="B36" s="73"/>
      <c r="C36" s="74"/>
      <c r="D36" s="74"/>
      <c r="E36" s="74"/>
      <c r="F36" s="76">
        <v>111</v>
      </c>
      <c r="G36" s="80" t="s">
        <v>40</v>
      </c>
      <c r="H36" s="81">
        <f>SUM(I36:T36)</f>
        <v>52162</v>
      </c>
      <c r="I36" s="74">
        <v>4081</v>
      </c>
      <c r="J36" s="74">
        <v>4081</v>
      </c>
      <c r="K36" s="74">
        <v>4081</v>
      </c>
      <c r="L36" s="74">
        <v>4081</v>
      </c>
      <c r="M36" s="89">
        <v>6961</v>
      </c>
      <c r="N36" s="89">
        <v>3514</v>
      </c>
      <c r="O36" s="89">
        <v>930</v>
      </c>
      <c r="P36" s="89">
        <v>4081</v>
      </c>
      <c r="Q36" s="90">
        <v>5088</v>
      </c>
      <c r="R36" s="90">
        <v>5088</v>
      </c>
      <c r="S36" s="90">
        <v>5088</v>
      </c>
      <c r="T36" s="90">
        <v>5088</v>
      </c>
      <c r="U36" s="81"/>
      <c r="V36" s="81"/>
      <c r="X36"/>
      <c r="Y36"/>
      <c r="Z36"/>
      <c r="AA36"/>
      <c r="AB36"/>
      <c r="AC36" s="3"/>
    </row>
    <row r="37" spans="1:29" s="5" customFormat="1" ht="18.75">
      <c r="A37"/>
      <c r="B37" s="73"/>
      <c r="C37" s="74"/>
      <c r="D37" s="74"/>
      <c r="E37" s="74"/>
      <c r="F37" s="76">
        <v>121</v>
      </c>
      <c r="G37" s="80" t="s">
        <v>42</v>
      </c>
      <c r="H37" s="81">
        <f>SUM(I37:T37)</f>
        <v>2811</v>
      </c>
      <c r="I37" s="74">
        <v>220</v>
      </c>
      <c r="J37" s="74">
        <v>220</v>
      </c>
      <c r="K37" s="74">
        <v>219</v>
      </c>
      <c r="L37" s="74">
        <v>220</v>
      </c>
      <c r="M37" s="74">
        <v>376</v>
      </c>
      <c r="N37" s="74">
        <v>190</v>
      </c>
      <c r="O37" s="74">
        <v>50</v>
      </c>
      <c r="P37" s="89">
        <v>220</v>
      </c>
      <c r="Q37" s="90">
        <v>274</v>
      </c>
      <c r="R37" s="90">
        <v>274</v>
      </c>
      <c r="S37" s="90">
        <v>274</v>
      </c>
      <c r="T37" s="90">
        <v>274</v>
      </c>
      <c r="U37" s="81">
        <f>U57</f>
        <v>0</v>
      </c>
      <c r="V37" s="81">
        <f>V57</f>
        <v>0</v>
      </c>
      <c r="X37"/>
      <c r="Y37"/>
      <c r="Z37"/>
      <c r="AA37"/>
      <c r="AB37"/>
      <c r="AC37" s="3"/>
    </row>
    <row r="38" spans="1:29" s="5" customFormat="1" ht="37.5">
      <c r="A38"/>
      <c r="B38" s="73"/>
      <c r="C38" s="74"/>
      <c r="D38" s="74"/>
      <c r="E38" s="74"/>
      <c r="F38" s="76">
        <v>122</v>
      </c>
      <c r="G38" s="80" t="s">
        <v>43</v>
      </c>
      <c r="H38" s="81">
        <f>SUM(I38:T38)</f>
        <v>1638</v>
      </c>
      <c r="I38" s="74">
        <v>128</v>
      </c>
      <c r="J38" s="74">
        <v>128</v>
      </c>
      <c r="K38" s="74">
        <v>128</v>
      </c>
      <c r="L38" s="74">
        <v>128</v>
      </c>
      <c r="M38" s="74">
        <v>219</v>
      </c>
      <c r="N38" s="74">
        <v>110</v>
      </c>
      <c r="O38" s="74">
        <v>29</v>
      </c>
      <c r="P38" s="89">
        <v>128</v>
      </c>
      <c r="Q38" s="90">
        <v>160</v>
      </c>
      <c r="R38" s="90">
        <v>160</v>
      </c>
      <c r="S38" s="90">
        <v>160</v>
      </c>
      <c r="T38" s="90">
        <v>160</v>
      </c>
      <c r="U38" s="74">
        <f>U58</f>
        <v>0</v>
      </c>
      <c r="V38" s="74">
        <f>V58</f>
        <v>0</v>
      </c>
      <c r="X38"/>
      <c r="Y38"/>
      <c r="Z38"/>
      <c r="AA38"/>
      <c r="AB38"/>
      <c r="AC38" s="3"/>
    </row>
    <row r="39" spans="1:29" s="5" customFormat="1" ht="37.5">
      <c r="A39"/>
      <c r="B39" s="73"/>
      <c r="C39" s="74"/>
      <c r="D39" s="74"/>
      <c r="E39" s="74"/>
      <c r="F39" s="76">
        <v>124</v>
      </c>
      <c r="G39" s="83" t="s">
        <v>44</v>
      </c>
      <c r="H39" s="81">
        <f>SUM(I39:T39)</f>
        <v>1046</v>
      </c>
      <c r="I39" s="74">
        <v>82</v>
      </c>
      <c r="J39" s="74">
        <v>82</v>
      </c>
      <c r="K39" s="74">
        <v>82</v>
      </c>
      <c r="L39" s="74">
        <v>82</v>
      </c>
      <c r="M39" s="74">
        <v>139</v>
      </c>
      <c r="N39" s="74">
        <v>70</v>
      </c>
      <c r="O39" s="74">
        <v>19</v>
      </c>
      <c r="P39" s="89">
        <v>82</v>
      </c>
      <c r="Q39" s="90">
        <v>102</v>
      </c>
      <c r="R39" s="90">
        <v>102</v>
      </c>
      <c r="S39" s="90">
        <v>102</v>
      </c>
      <c r="T39" s="90">
        <v>102</v>
      </c>
      <c r="U39"/>
      <c r="V39"/>
      <c r="X39"/>
      <c r="Y39"/>
      <c r="Z39"/>
      <c r="AA39"/>
      <c r="AB39"/>
      <c r="AC39" s="3"/>
    </row>
    <row r="40" spans="1:29" s="5" customFormat="1" ht="37.5">
      <c r="A40"/>
      <c r="B40" s="91">
        <v>0.25</v>
      </c>
      <c r="C40" s="68"/>
      <c r="D40" s="84" t="s">
        <v>36</v>
      </c>
      <c r="E40" s="84" t="s">
        <v>38</v>
      </c>
      <c r="F40" s="85"/>
      <c r="G40" s="69" t="s">
        <v>47</v>
      </c>
      <c r="H40" s="87">
        <f>H41+H43+H44+H45+H42</f>
        <v>90585</v>
      </c>
      <c r="I40" s="87">
        <f t="shared" ref="I40:T40" si="10">I41+I43+I44+I45+I42</f>
        <v>7837</v>
      </c>
      <c r="J40" s="87">
        <f t="shared" si="10"/>
        <v>7837</v>
      </c>
      <c r="K40" s="87">
        <f t="shared" si="10"/>
        <v>7834</v>
      </c>
      <c r="L40" s="87">
        <f t="shared" si="10"/>
        <v>7834</v>
      </c>
      <c r="M40" s="78">
        <f t="shared" si="10"/>
        <v>13142</v>
      </c>
      <c r="N40" s="87">
        <f t="shared" si="10"/>
        <v>6390</v>
      </c>
      <c r="O40" s="87">
        <f t="shared" si="10"/>
        <v>793</v>
      </c>
      <c r="P40" s="87">
        <f t="shared" si="10"/>
        <v>7579</v>
      </c>
      <c r="Q40" s="87">
        <f t="shared" si="10"/>
        <v>7834</v>
      </c>
      <c r="R40" s="87">
        <f t="shared" si="10"/>
        <v>7834</v>
      </c>
      <c r="S40" s="87">
        <f t="shared" si="10"/>
        <v>7834</v>
      </c>
      <c r="T40" s="87">
        <f t="shared" si="10"/>
        <v>7837</v>
      </c>
      <c r="U40" s="89">
        <v>636</v>
      </c>
      <c r="V40" s="89">
        <v>636</v>
      </c>
      <c r="X40"/>
      <c r="Y40"/>
      <c r="Z40"/>
      <c r="AA40"/>
      <c r="AB40"/>
      <c r="AC40" s="3"/>
    </row>
    <row r="41" spans="1:29" s="5" customFormat="1" ht="18.75">
      <c r="A41"/>
      <c r="B41" s="73"/>
      <c r="C41" s="74"/>
      <c r="D41" s="74"/>
      <c r="E41" s="74"/>
      <c r="F41" s="76">
        <v>111</v>
      </c>
      <c r="G41" s="80" t="s">
        <v>40</v>
      </c>
      <c r="H41" s="81">
        <f>I41+J41+K41+L41+M41+N41+O41+P41+Q41+R41+S41+T41</f>
        <v>79020</v>
      </c>
      <c r="I41" s="81">
        <v>7093</v>
      </c>
      <c r="J41" s="81">
        <v>7093</v>
      </c>
      <c r="K41" s="81">
        <v>7090</v>
      </c>
      <c r="L41" s="81">
        <v>7090</v>
      </c>
      <c r="M41" s="81">
        <v>9713</v>
      </c>
      <c r="N41" s="81">
        <v>5325</v>
      </c>
      <c r="O41" s="92">
        <v>560</v>
      </c>
      <c r="P41" s="93">
        <v>6694</v>
      </c>
      <c r="Q41" s="90">
        <v>7089</v>
      </c>
      <c r="R41" s="90">
        <v>7090</v>
      </c>
      <c r="S41" s="90">
        <v>7090</v>
      </c>
      <c r="T41" s="90">
        <v>7093</v>
      </c>
      <c r="U41" s="90">
        <v>181</v>
      </c>
      <c r="V41" s="90">
        <v>181</v>
      </c>
      <c r="X41"/>
      <c r="Y41"/>
      <c r="Z41"/>
      <c r="AA41"/>
      <c r="AB41"/>
      <c r="AC41" s="3"/>
    </row>
    <row r="42" spans="1:29" s="5" customFormat="1" ht="18.75">
      <c r="A42"/>
      <c r="B42" s="73"/>
      <c r="C42" s="74"/>
      <c r="D42" s="74"/>
      <c r="E42" s="74"/>
      <c r="F42" s="76">
        <v>113</v>
      </c>
      <c r="G42" s="82" t="s">
        <v>41</v>
      </c>
      <c r="H42" s="81">
        <f>I42+J42+K42+L42+M42+N42+O42+P42+Q42+R42+S42+T42</f>
        <v>3260</v>
      </c>
      <c r="I42" s="81"/>
      <c r="J42" s="81"/>
      <c r="K42" s="81"/>
      <c r="L42" s="81"/>
      <c r="M42" s="81">
        <v>2404</v>
      </c>
      <c r="N42" s="81">
        <v>503</v>
      </c>
      <c r="O42" s="92">
        <v>174</v>
      </c>
      <c r="P42" s="93">
        <v>179</v>
      </c>
      <c r="Q42" s="90"/>
      <c r="R42" s="93"/>
      <c r="S42" s="90"/>
      <c r="T42" s="90"/>
      <c r="U42" s="90">
        <v>102</v>
      </c>
      <c r="V42" s="90">
        <v>102</v>
      </c>
      <c r="X42"/>
      <c r="Y42"/>
      <c r="Z42"/>
      <c r="AA42"/>
      <c r="AB42"/>
      <c r="AC42" s="3"/>
    </row>
    <row r="43" spans="1:29" s="5" customFormat="1" ht="18.75">
      <c r="A43"/>
      <c r="B43" s="73"/>
      <c r="C43" s="74"/>
      <c r="D43" s="74"/>
      <c r="E43" s="74"/>
      <c r="F43" s="76">
        <v>121</v>
      </c>
      <c r="G43" s="80" t="s">
        <v>42</v>
      </c>
      <c r="H43" s="81">
        <f>I43+J43+K43+L43+M43+N43+O43+P43+Q43+R43+S43+T43</f>
        <v>4252</v>
      </c>
      <c r="I43" s="81">
        <v>381</v>
      </c>
      <c r="J43" s="81">
        <v>381</v>
      </c>
      <c r="K43" s="81">
        <v>381</v>
      </c>
      <c r="L43" s="81">
        <v>381</v>
      </c>
      <c r="M43" s="81">
        <v>525</v>
      </c>
      <c r="N43" s="81">
        <v>287</v>
      </c>
      <c r="O43" s="92">
        <v>30</v>
      </c>
      <c r="P43" s="93">
        <v>361</v>
      </c>
      <c r="Q43" s="90">
        <v>382</v>
      </c>
      <c r="R43" s="90">
        <v>381</v>
      </c>
      <c r="S43" s="90">
        <v>381</v>
      </c>
      <c r="T43" s="90">
        <v>381</v>
      </c>
      <c r="U43" s="90">
        <v>58</v>
      </c>
      <c r="V43" s="90">
        <v>58</v>
      </c>
      <c r="X43"/>
      <c r="Y43"/>
      <c r="Z43"/>
      <c r="AA43"/>
      <c r="AB43"/>
      <c r="AC43" s="3"/>
    </row>
    <row r="44" spans="1:29" s="5" customFormat="1" ht="37.5">
      <c r="A44"/>
      <c r="B44" s="73"/>
      <c r="C44" s="74"/>
      <c r="D44" s="74"/>
      <c r="E44" s="74"/>
      <c r="F44" s="76">
        <v>122</v>
      </c>
      <c r="G44" s="80" t="s">
        <v>43</v>
      </c>
      <c r="H44" s="74">
        <f>I44+J44+K44+L44+M44+N44+O44+P44+Q44+R44+S44+T44</f>
        <v>2479</v>
      </c>
      <c r="I44" s="74">
        <v>222</v>
      </c>
      <c r="J44" s="74">
        <v>222</v>
      </c>
      <c r="K44" s="74">
        <v>222</v>
      </c>
      <c r="L44" s="74">
        <v>222</v>
      </c>
      <c r="M44" s="74">
        <v>306</v>
      </c>
      <c r="N44" s="74">
        <v>168</v>
      </c>
      <c r="O44" s="68">
        <v>18</v>
      </c>
      <c r="P44" s="68">
        <v>211</v>
      </c>
      <c r="Q44" s="81">
        <v>222</v>
      </c>
      <c r="R44" s="74">
        <v>222</v>
      </c>
      <c r="S44" s="74">
        <v>222</v>
      </c>
      <c r="T44" s="74">
        <v>222</v>
      </c>
      <c r="U44"/>
      <c r="V44"/>
      <c r="X44"/>
      <c r="Y44"/>
      <c r="Z44"/>
      <c r="AA44"/>
      <c r="AB44"/>
      <c r="AC44" s="3"/>
    </row>
    <row r="45" spans="1:29" s="5" customFormat="1" ht="37.5">
      <c r="A45"/>
      <c r="B45" s="73"/>
      <c r="C45" s="74"/>
      <c r="D45" s="74"/>
      <c r="E45" s="74"/>
      <c r="F45" s="76">
        <v>124</v>
      </c>
      <c r="G45" s="83" t="s">
        <v>44</v>
      </c>
      <c r="H45" s="74">
        <f>I45+J45+K45+L45+M45+N45+O45+P45+Q45+R45+S45+T45</f>
        <v>1574</v>
      </c>
      <c r="I45" s="74">
        <v>141</v>
      </c>
      <c r="J45" s="74">
        <v>141</v>
      </c>
      <c r="K45" s="74">
        <v>141</v>
      </c>
      <c r="L45" s="74">
        <v>141</v>
      </c>
      <c r="M45" s="74">
        <v>194</v>
      </c>
      <c r="N45" s="74">
        <v>107</v>
      </c>
      <c r="O45" s="68">
        <v>11</v>
      </c>
      <c r="P45" s="68">
        <v>134</v>
      </c>
      <c r="Q45" s="81">
        <v>141</v>
      </c>
      <c r="R45" s="81">
        <v>141</v>
      </c>
      <c r="S45" s="81">
        <v>141</v>
      </c>
      <c r="T45" s="81">
        <v>141</v>
      </c>
      <c r="U45" s="90">
        <v>4810</v>
      </c>
      <c r="V45" s="90">
        <v>4810</v>
      </c>
      <c r="X45"/>
      <c r="Y45"/>
      <c r="Z45"/>
      <c r="AA45"/>
      <c r="AB45"/>
      <c r="AC45" s="3"/>
    </row>
    <row r="46" spans="1:29" s="5" customFormat="1" ht="56.25">
      <c r="A46"/>
      <c r="B46" s="66" t="s">
        <v>48</v>
      </c>
      <c r="C46" s="74"/>
      <c r="D46" s="84" t="s">
        <v>36</v>
      </c>
      <c r="E46" s="84" t="s">
        <v>38</v>
      </c>
      <c r="F46" s="76"/>
      <c r="G46" s="79" t="s">
        <v>39</v>
      </c>
      <c r="H46" s="87">
        <f>H47+H48+H49+H50</f>
        <v>2354</v>
      </c>
      <c r="I46" s="88">
        <f t="shared" ref="I46:T46" si="11">I47+I48+I49+I50</f>
        <v>0</v>
      </c>
      <c r="J46" s="88">
        <f t="shared" si="11"/>
        <v>0</v>
      </c>
      <c r="K46" s="88">
        <f t="shared" si="11"/>
        <v>297</v>
      </c>
      <c r="L46" s="88">
        <f t="shared" si="11"/>
        <v>99</v>
      </c>
      <c r="M46" s="88">
        <f t="shared" si="11"/>
        <v>171</v>
      </c>
      <c r="N46" s="88">
        <f t="shared" si="11"/>
        <v>76</v>
      </c>
      <c r="O46" s="88">
        <f t="shared" si="11"/>
        <v>0</v>
      </c>
      <c r="P46" s="88">
        <f t="shared" si="11"/>
        <v>99</v>
      </c>
      <c r="Q46" s="87">
        <f t="shared" si="11"/>
        <v>403</v>
      </c>
      <c r="R46" s="87">
        <f t="shared" si="11"/>
        <v>403</v>
      </c>
      <c r="S46" s="87">
        <f t="shared" si="11"/>
        <v>403</v>
      </c>
      <c r="T46" s="87">
        <f t="shared" si="11"/>
        <v>403</v>
      </c>
      <c r="U46"/>
      <c r="V46"/>
      <c r="X46"/>
      <c r="Y46"/>
      <c r="Z46"/>
      <c r="AA46"/>
      <c r="AB46"/>
      <c r="AC46" s="3"/>
    </row>
    <row r="47" spans="1:29" s="5" customFormat="1" ht="18.75">
      <c r="A47"/>
      <c r="B47" s="73"/>
      <c r="C47" s="74"/>
      <c r="D47" s="74"/>
      <c r="E47" s="74"/>
      <c r="F47" s="76">
        <v>111</v>
      </c>
      <c r="G47" s="80" t="s">
        <v>40</v>
      </c>
      <c r="H47" s="81">
        <f>I47+J47+K47+L47+M47+N47+O47+P47+Q47+R47+S47+T47</f>
        <v>2129</v>
      </c>
      <c r="I47" s="74"/>
      <c r="J47" s="74"/>
      <c r="K47" s="74">
        <v>267</v>
      </c>
      <c r="L47" s="74">
        <v>89</v>
      </c>
      <c r="M47" s="74">
        <v>155</v>
      </c>
      <c r="N47" s="74">
        <v>69</v>
      </c>
      <c r="O47" s="74"/>
      <c r="P47" s="74">
        <v>89</v>
      </c>
      <c r="Q47" s="81">
        <v>365</v>
      </c>
      <c r="R47" s="81">
        <v>365</v>
      </c>
      <c r="S47" s="81">
        <v>365</v>
      </c>
      <c r="T47" s="81">
        <v>365</v>
      </c>
      <c r="U47" s="89">
        <v>347</v>
      </c>
      <c r="V47" s="89">
        <v>347</v>
      </c>
      <c r="X47"/>
      <c r="Y47"/>
      <c r="Z47"/>
      <c r="AA47"/>
      <c r="AB47"/>
      <c r="AC47" s="3"/>
    </row>
    <row r="48" spans="1:29" s="5" customFormat="1" ht="18.75">
      <c r="A48"/>
      <c r="B48" s="73"/>
      <c r="C48" s="74"/>
      <c r="D48" s="74"/>
      <c r="E48" s="74"/>
      <c r="F48" s="76">
        <v>121</v>
      </c>
      <c r="G48" s="80" t="s">
        <v>42</v>
      </c>
      <c r="H48" s="81">
        <f>I48+J48+K48+L48+M48+N48+O48+P48+Q48+R48+S48+T48</f>
        <v>117</v>
      </c>
      <c r="I48" s="74"/>
      <c r="J48" s="74"/>
      <c r="K48" s="74">
        <v>15</v>
      </c>
      <c r="L48" s="74">
        <v>5</v>
      </c>
      <c r="M48" s="74">
        <v>8</v>
      </c>
      <c r="N48" s="74">
        <v>4</v>
      </c>
      <c r="O48" s="74"/>
      <c r="P48" s="74">
        <v>5</v>
      </c>
      <c r="Q48" s="81">
        <v>20</v>
      </c>
      <c r="R48" s="81">
        <v>20</v>
      </c>
      <c r="S48" s="81">
        <v>20</v>
      </c>
      <c r="T48" s="81">
        <v>20</v>
      </c>
      <c r="U48" s="74">
        <v>75</v>
      </c>
      <c r="V48" s="74">
        <v>75</v>
      </c>
      <c r="X48"/>
      <c r="Y48"/>
      <c r="Z48"/>
      <c r="AA48"/>
      <c r="AB48"/>
      <c r="AC48" s="3"/>
    </row>
    <row r="49" spans="1:29" s="5" customFormat="1" ht="37.5">
      <c r="A49"/>
      <c r="B49" s="73"/>
      <c r="C49" s="74"/>
      <c r="D49" s="74"/>
      <c r="E49" s="74"/>
      <c r="F49" s="76">
        <v>122</v>
      </c>
      <c r="G49" s="80" t="s">
        <v>43</v>
      </c>
      <c r="H49" s="81">
        <f>I49+J49+K49+L49+M49+N49+O49+P49+Q49+R49+S49+T49</f>
        <v>66</v>
      </c>
      <c r="I49" s="74"/>
      <c r="J49" s="74"/>
      <c r="K49" s="74">
        <v>9</v>
      </c>
      <c r="L49" s="74">
        <v>3</v>
      </c>
      <c r="M49" s="74">
        <v>5</v>
      </c>
      <c r="N49" s="74">
        <v>2</v>
      </c>
      <c r="O49" s="74"/>
      <c r="P49" s="74">
        <v>3</v>
      </c>
      <c r="Q49" s="81">
        <v>11</v>
      </c>
      <c r="R49" s="81">
        <v>11</v>
      </c>
      <c r="S49" s="81">
        <v>11</v>
      </c>
      <c r="T49" s="81">
        <v>11</v>
      </c>
      <c r="U49" s="81">
        <v>48</v>
      </c>
      <c r="V49" s="81">
        <v>48</v>
      </c>
      <c r="X49"/>
      <c r="Y49"/>
      <c r="Z49"/>
      <c r="AA49"/>
      <c r="AB49"/>
      <c r="AC49" s="3"/>
    </row>
    <row r="50" spans="1:29" s="5" customFormat="1" ht="37.5">
      <c r="A50"/>
      <c r="B50" s="73"/>
      <c r="C50" s="74"/>
      <c r="D50" s="74"/>
      <c r="E50" s="74"/>
      <c r="F50" s="76">
        <v>124</v>
      </c>
      <c r="G50" s="83" t="s">
        <v>44</v>
      </c>
      <c r="H50" s="81">
        <f>I50+J50+K50+L50+M50+N50+O50+P50+Q50+R50+S50+T50</f>
        <v>42</v>
      </c>
      <c r="I50" s="74"/>
      <c r="J50" s="74"/>
      <c r="K50" s="74">
        <v>6</v>
      </c>
      <c r="L50" s="74">
        <v>2</v>
      </c>
      <c r="M50" s="74">
        <v>3</v>
      </c>
      <c r="N50" s="74">
        <v>1</v>
      </c>
      <c r="O50" s="74"/>
      <c r="P50" s="74">
        <v>2</v>
      </c>
      <c r="Q50" s="74">
        <v>7</v>
      </c>
      <c r="R50" s="74">
        <v>7</v>
      </c>
      <c r="S50" s="74">
        <v>7</v>
      </c>
      <c r="T50" s="74">
        <v>7</v>
      </c>
      <c r="U50"/>
      <c r="V50"/>
      <c r="X50"/>
      <c r="Y50"/>
      <c r="Z50"/>
      <c r="AA50"/>
      <c r="AB50"/>
      <c r="AC50" s="3"/>
    </row>
    <row r="51" spans="1:29" s="5" customFormat="1" ht="18.75">
      <c r="A51"/>
      <c r="B51" s="73"/>
      <c r="C51" s="74"/>
      <c r="D51" s="75" t="s">
        <v>36</v>
      </c>
      <c r="E51" s="75" t="s">
        <v>49</v>
      </c>
      <c r="F51" s="76"/>
      <c r="G51" s="79" t="s">
        <v>50</v>
      </c>
      <c r="H51" s="78">
        <f t="shared" ref="H51:T51" si="12">H52+H53+H54+H55+H56+H57+H58+H59+H60+H61+H62+H63+H64</f>
        <v>253975</v>
      </c>
      <c r="I51" s="78">
        <f t="shared" si="12"/>
        <v>25648</v>
      </c>
      <c r="J51" s="78">
        <f t="shared" si="12"/>
        <v>32474</v>
      </c>
      <c r="K51" s="78">
        <f t="shared" si="12"/>
        <v>35546</v>
      </c>
      <c r="L51" s="78">
        <f t="shared" si="12"/>
        <v>31386</v>
      </c>
      <c r="M51" s="78">
        <f t="shared" si="12"/>
        <v>50055</v>
      </c>
      <c r="N51" s="78">
        <f t="shared" si="12"/>
        <v>40633</v>
      </c>
      <c r="O51" s="78">
        <f t="shared" si="12"/>
        <v>11084</v>
      </c>
      <c r="P51" s="78">
        <f t="shared" si="12"/>
        <v>6412</v>
      </c>
      <c r="Q51" s="78">
        <f t="shared" si="12"/>
        <v>5079</v>
      </c>
      <c r="R51" s="78">
        <f t="shared" si="12"/>
        <v>5129</v>
      </c>
      <c r="S51" s="78">
        <f t="shared" si="12"/>
        <v>5211</v>
      </c>
      <c r="T51" s="78">
        <f t="shared" si="12"/>
        <v>5318</v>
      </c>
      <c r="U51" s="74">
        <v>63</v>
      </c>
      <c r="V51" s="74">
        <v>63</v>
      </c>
      <c r="X51"/>
      <c r="Y51"/>
      <c r="Z51"/>
      <c r="AA51"/>
      <c r="AB51"/>
      <c r="AC51" s="3"/>
    </row>
    <row r="52" spans="1:29" s="5" customFormat="1" ht="18.75">
      <c r="A52"/>
      <c r="B52" s="73"/>
      <c r="C52" s="74"/>
      <c r="D52" s="94"/>
      <c r="E52" s="74"/>
      <c r="F52" s="74">
        <v>111</v>
      </c>
      <c r="G52" s="80" t="s">
        <v>40</v>
      </c>
      <c r="H52" s="81">
        <f t="shared" ref="H52:H55" si="13">I52+J52+K52+L52+M52+N52+O52+P52+Q52+R52+S52+T52</f>
        <v>158313</v>
      </c>
      <c r="I52" s="74">
        <v>23200</v>
      </c>
      <c r="J52" s="74">
        <v>23200</v>
      </c>
      <c r="K52" s="74">
        <v>23200</v>
      </c>
      <c r="L52" s="74">
        <v>23200</v>
      </c>
      <c r="M52" s="74">
        <v>38067</v>
      </c>
      <c r="N52" s="74">
        <v>20763</v>
      </c>
      <c r="O52" s="74">
        <v>6683</v>
      </c>
      <c r="P52" s="74"/>
      <c r="Q52" s="81"/>
      <c r="R52" s="74"/>
      <c r="S52" s="74"/>
      <c r="T52" s="74"/>
      <c r="U52" s="81">
        <v>1</v>
      </c>
      <c r="V52" s="81">
        <v>1</v>
      </c>
      <c r="X52"/>
      <c r="Y52"/>
      <c r="Z52"/>
      <c r="AA52"/>
      <c r="AB52"/>
      <c r="AC52" s="3"/>
    </row>
    <row r="53" spans="1:29" s="5" customFormat="1" ht="18.75">
      <c r="A53"/>
      <c r="B53" s="88"/>
      <c r="C53" s="68"/>
      <c r="D53" s="95"/>
      <c r="E53" s="68"/>
      <c r="F53" s="68">
        <v>113</v>
      </c>
      <c r="G53" s="82" t="s">
        <v>41</v>
      </c>
      <c r="H53" s="68">
        <f t="shared" si="13"/>
        <v>15958</v>
      </c>
      <c r="I53" s="68"/>
      <c r="J53" s="68"/>
      <c r="K53" s="74">
        <v>300</v>
      </c>
      <c r="L53" s="74">
        <v>255</v>
      </c>
      <c r="M53" s="74">
        <v>2100</v>
      </c>
      <c r="N53" s="74">
        <v>12800</v>
      </c>
      <c r="O53" s="74">
        <v>503</v>
      </c>
      <c r="P53" s="74"/>
      <c r="Q53" s="74"/>
      <c r="R53" s="68"/>
      <c r="S53" s="74"/>
      <c r="T53" s="68"/>
      <c r="U53"/>
      <c r="V53"/>
      <c r="X53"/>
      <c r="Y53"/>
      <c r="Z53"/>
      <c r="AA53"/>
      <c r="AB53"/>
      <c r="AC53" s="3"/>
    </row>
    <row r="54" spans="1:29" s="5" customFormat="1" ht="18.75">
      <c r="A54"/>
      <c r="B54" s="96"/>
      <c r="C54" s="68"/>
      <c r="D54" s="95"/>
      <c r="E54" s="68"/>
      <c r="F54" s="68">
        <v>121</v>
      </c>
      <c r="G54" s="82" t="s">
        <v>42</v>
      </c>
      <c r="H54" s="92">
        <f t="shared" si="13"/>
        <v>8548</v>
      </c>
      <c r="I54" s="92">
        <v>1253</v>
      </c>
      <c r="J54" s="92">
        <v>1253</v>
      </c>
      <c r="K54" s="92">
        <v>1253</v>
      </c>
      <c r="L54" s="81">
        <v>1253</v>
      </c>
      <c r="M54" s="81">
        <v>2055</v>
      </c>
      <c r="N54" s="81">
        <v>1121</v>
      </c>
      <c r="O54" s="81">
        <v>360</v>
      </c>
      <c r="P54" s="81"/>
      <c r="Q54" s="81"/>
      <c r="R54" s="81"/>
      <c r="S54" s="81"/>
      <c r="T54" s="81"/>
      <c r="U54" s="74">
        <v>1</v>
      </c>
      <c r="V54" s="74">
        <v>1</v>
      </c>
      <c r="X54"/>
      <c r="Y54"/>
      <c r="Z54"/>
      <c r="AA54"/>
      <c r="AB54"/>
      <c r="AC54" s="3"/>
    </row>
    <row r="55" spans="1:29" s="5" customFormat="1" ht="37.5">
      <c r="A55"/>
      <c r="B55" s="96"/>
      <c r="C55" s="68"/>
      <c r="D55" s="95"/>
      <c r="E55" s="68"/>
      <c r="F55" s="68">
        <v>122</v>
      </c>
      <c r="G55" s="82" t="s">
        <v>51</v>
      </c>
      <c r="H55" s="92">
        <f t="shared" si="13"/>
        <v>4987</v>
      </c>
      <c r="I55" s="92">
        <v>731</v>
      </c>
      <c r="J55" s="92">
        <v>731</v>
      </c>
      <c r="K55" s="92">
        <v>731</v>
      </c>
      <c r="L55" s="81">
        <v>731</v>
      </c>
      <c r="M55" s="81">
        <v>1199</v>
      </c>
      <c r="N55" s="81">
        <v>654</v>
      </c>
      <c r="O55" s="81">
        <v>210</v>
      </c>
      <c r="P55" s="81"/>
      <c r="Q55" s="81"/>
      <c r="R55" s="81"/>
      <c r="S55" s="81"/>
      <c r="T55" s="81"/>
      <c r="U55" s="87" t="e">
        <f>U57+U58+#REF!+U56</f>
        <v>#REF!</v>
      </c>
      <c r="V55" s="87" t="e">
        <f>V57+V58+#REF!+V56</f>
        <v>#REF!</v>
      </c>
      <c r="X55"/>
      <c r="Y55"/>
      <c r="Z55"/>
      <c r="AA55"/>
      <c r="AB55"/>
      <c r="AC55" s="3"/>
    </row>
    <row r="56" spans="1:29" s="5" customFormat="1" ht="37.5">
      <c r="A56"/>
      <c r="B56" s="88"/>
      <c r="C56" s="68"/>
      <c r="D56" s="95"/>
      <c r="E56" s="68"/>
      <c r="F56" s="68">
        <v>124</v>
      </c>
      <c r="G56" s="97" t="s">
        <v>44</v>
      </c>
      <c r="H56" s="92">
        <f>I56+J56+K56+L56+M56+N56+O56+P56+Q56+R56+S56+T56</f>
        <v>3166</v>
      </c>
      <c r="I56" s="92">
        <v>464</v>
      </c>
      <c r="J56" s="92">
        <v>464</v>
      </c>
      <c r="K56" s="92">
        <v>464</v>
      </c>
      <c r="L56" s="81">
        <v>464</v>
      </c>
      <c r="M56" s="81">
        <v>761</v>
      </c>
      <c r="N56" s="81">
        <v>415</v>
      </c>
      <c r="O56" s="81">
        <v>134</v>
      </c>
      <c r="P56" s="81"/>
      <c r="Q56" s="81"/>
      <c r="R56" s="81"/>
      <c r="S56" s="81"/>
      <c r="T56" s="81"/>
      <c r="U56"/>
      <c r="V56"/>
      <c r="X56"/>
      <c r="Y56"/>
      <c r="Z56"/>
      <c r="AA56"/>
      <c r="AB56"/>
      <c r="AC56" s="3"/>
    </row>
    <row r="57" spans="1:29" s="5" customFormat="1" ht="18.75">
      <c r="A57"/>
      <c r="B57" s="88"/>
      <c r="C57" s="68"/>
      <c r="D57" s="95"/>
      <c r="E57" s="68"/>
      <c r="F57" s="85">
        <v>149</v>
      </c>
      <c r="G57" s="97" t="s">
        <v>52</v>
      </c>
      <c r="H57" s="92">
        <f t="shared" ref="H57:H64" si="14">I57+J57+K57+L57+M57+N57+O57+P57+Q57+R57+S57+T57</f>
        <v>5892</v>
      </c>
      <c r="I57" s="92">
        <v>0</v>
      </c>
      <c r="J57" s="92">
        <v>0</v>
      </c>
      <c r="K57" s="92">
        <v>1102</v>
      </c>
      <c r="L57" s="81">
        <v>319</v>
      </c>
      <c r="M57" s="81">
        <v>1958</v>
      </c>
      <c r="N57" s="81">
        <v>2361</v>
      </c>
      <c r="O57" s="81">
        <v>0</v>
      </c>
      <c r="P57" s="81">
        <v>0</v>
      </c>
      <c r="Q57" s="81">
        <v>0</v>
      </c>
      <c r="R57" s="81">
        <v>152</v>
      </c>
      <c r="S57" s="81">
        <v>0</v>
      </c>
      <c r="T57" s="81">
        <v>0</v>
      </c>
      <c r="U57"/>
      <c r="V57"/>
      <c r="X57"/>
      <c r="Y57"/>
      <c r="Z57"/>
      <c r="AA57"/>
      <c r="AB57"/>
      <c r="AC57" s="3"/>
    </row>
    <row r="58" spans="1:29" s="5" customFormat="1" ht="18.75">
      <c r="A58"/>
      <c r="B58" s="88"/>
      <c r="C58" s="68"/>
      <c r="D58" s="95"/>
      <c r="E58" s="68"/>
      <c r="F58" s="85">
        <v>151</v>
      </c>
      <c r="G58" s="97" t="s">
        <v>53</v>
      </c>
      <c r="H58" s="92">
        <f t="shared" si="14"/>
        <v>12514</v>
      </c>
      <c r="I58" s="92"/>
      <c r="J58" s="92">
        <v>2920</v>
      </c>
      <c r="K58" s="92">
        <v>1518</v>
      </c>
      <c r="L58" s="81">
        <v>1449</v>
      </c>
      <c r="M58" s="81">
        <v>200</v>
      </c>
      <c r="N58" s="81">
        <v>354</v>
      </c>
      <c r="O58" s="81">
        <v>294</v>
      </c>
      <c r="P58" s="81">
        <v>252</v>
      </c>
      <c r="Q58" s="81">
        <v>1183</v>
      </c>
      <c r="R58" s="81">
        <v>1414</v>
      </c>
      <c r="S58" s="81">
        <v>1563</v>
      </c>
      <c r="T58" s="81">
        <v>1367</v>
      </c>
      <c r="U58"/>
      <c r="V58"/>
      <c r="X58"/>
      <c r="Y58"/>
      <c r="Z58"/>
      <c r="AA58"/>
      <c r="AB58"/>
      <c r="AC58" s="3"/>
    </row>
    <row r="59" spans="1:29" s="5" customFormat="1" ht="25.5" customHeight="1">
      <c r="A59"/>
      <c r="B59" s="88"/>
      <c r="C59" s="68"/>
      <c r="D59" s="95"/>
      <c r="E59" s="68"/>
      <c r="F59" s="85">
        <v>152</v>
      </c>
      <c r="G59" s="97" t="s">
        <v>54</v>
      </c>
      <c r="H59" s="92">
        <f t="shared" si="14"/>
        <v>2018</v>
      </c>
      <c r="I59" s="92"/>
      <c r="J59" s="92">
        <v>336</v>
      </c>
      <c r="K59" s="92">
        <v>168</v>
      </c>
      <c r="L59" s="81">
        <v>169</v>
      </c>
      <c r="M59" s="81">
        <v>168</v>
      </c>
      <c r="N59" s="81">
        <v>168</v>
      </c>
      <c r="O59" s="81">
        <v>169</v>
      </c>
      <c r="P59" s="81">
        <v>168</v>
      </c>
      <c r="Q59" s="81">
        <v>168</v>
      </c>
      <c r="R59" s="81">
        <v>168</v>
      </c>
      <c r="S59" s="81">
        <v>168</v>
      </c>
      <c r="T59" s="81">
        <v>168</v>
      </c>
      <c r="U59" s="78" t="e">
        <f>U60+U61+U62+U63+U64+U65+#REF!+U66</f>
        <v>#REF!</v>
      </c>
      <c r="V59" s="78" t="e">
        <f>V60+V61+V62+V63+V64+V65+#REF!+V66</f>
        <v>#REF!</v>
      </c>
      <c r="X59"/>
      <c r="Y59"/>
      <c r="Z59"/>
      <c r="AA59"/>
      <c r="AB59"/>
      <c r="AC59" s="3"/>
    </row>
    <row r="60" spans="1:29" s="5" customFormat="1" ht="18.75">
      <c r="A60"/>
      <c r="B60" s="88"/>
      <c r="C60" s="68"/>
      <c r="D60" s="95"/>
      <c r="E60" s="68"/>
      <c r="F60" s="85">
        <v>153</v>
      </c>
      <c r="G60" s="97" t="s">
        <v>55</v>
      </c>
      <c r="H60" s="92">
        <f t="shared" si="14"/>
        <v>0</v>
      </c>
      <c r="I60" s="92"/>
      <c r="J60" s="92"/>
      <c r="K60" s="92"/>
      <c r="L60" s="81"/>
      <c r="M60" s="81"/>
      <c r="N60" s="81"/>
      <c r="O60" s="81"/>
      <c r="P60" s="81"/>
      <c r="Q60" s="81"/>
      <c r="R60" s="81"/>
      <c r="S60" s="81"/>
      <c r="T60" s="81"/>
      <c r="U60" s="74">
        <v>18772</v>
      </c>
      <c r="V60" s="74">
        <v>18772</v>
      </c>
      <c r="X60"/>
      <c r="Y60"/>
      <c r="Z60"/>
      <c r="AA60"/>
      <c r="AB60"/>
      <c r="AC60" s="3"/>
    </row>
    <row r="61" spans="1:29" s="5" customFormat="1" ht="18.75">
      <c r="A61"/>
      <c r="B61" s="88"/>
      <c r="C61" s="68"/>
      <c r="D61" s="95"/>
      <c r="E61" s="68"/>
      <c r="F61" s="85">
        <v>159</v>
      </c>
      <c r="G61" s="97" t="s">
        <v>56</v>
      </c>
      <c r="H61" s="92">
        <f t="shared" si="14"/>
        <v>25858</v>
      </c>
      <c r="I61" s="92">
        <v>0</v>
      </c>
      <c r="J61" s="92">
        <v>2621</v>
      </c>
      <c r="K61" s="92">
        <v>5022</v>
      </c>
      <c r="L61" s="81">
        <v>2597</v>
      </c>
      <c r="M61" s="81">
        <v>2513</v>
      </c>
      <c r="N61" s="81">
        <v>778</v>
      </c>
      <c r="O61" s="81">
        <v>1512</v>
      </c>
      <c r="P61" s="81">
        <v>311</v>
      </c>
      <c r="Q61" s="81">
        <v>2779</v>
      </c>
      <c r="R61" s="81">
        <v>2446</v>
      </c>
      <c r="S61" s="81">
        <v>2445</v>
      </c>
      <c r="T61" s="81">
        <v>2834</v>
      </c>
      <c r="U61"/>
      <c r="V61"/>
      <c r="X61"/>
      <c r="Y61"/>
      <c r="Z61"/>
      <c r="AA61"/>
      <c r="AB61"/>
      <c r="AC61" s="3"/>
    </row>
    <row r="62" spans="1:29" s="5" customFormat="1" ht="18.75">
      <c r="A62"/>
      <c r="B62" s="88"/>
      <c r="C62" s="68"/>
      <c r="D62" s="95"/>
      <c r="E62" s="68"/>
      <c r="F62" s="85">
        <v>161</v>
      </c>
      <c r="G62" s="97" t="s">
        <v>57</v>
      </c>
      <c r="H62" s="92">
        <f t="shared" si="14"/>
        <v>1210</v>
      </c>
      <c r="I62" s="92"/>
      <c r="J62" s="92">
        <v>110</v>
      </c>
      <c r="K62" s="92">
        <v>110</v>
      </c>
      <c r="L62" s="81">
        <v>110</v>
      </c>
      <c r="M62" s="81">
        <v>110</v>
      </c>
      <c r="N62" s="81">
        <v>110</v>
      </c>
      <c r="O62" s="81">
        <v>110</v>
      </c>
      <c r="P62" s="81">
        <v>110</v>
      </c>
      <c r="Q62" s="81">
        <v>110</v>
      </c>
      <c r="R62" s="81">
        <v>110</v>
      </c>
      <c r="S62" s="81">
        <v>110</v>
      </c>
      <c r="T62" s="81">
        <v>110</v>
      </c>
      <c r="U62"/>
      <c r="V62"/>
      <c r="X62"/>
      <c r="Y62"/>
      <c r="Z62"/>
      <c r="AA62"/>
      <c r="AB62"/>
      <c r="AC62" s="3"/>
    </row>
    <row r="63" spans="1:29" s="5" customFormat="1" ht="37.5">
      <c r="A63"/>
      <c r="B63" s="88"/>
      <c r="C63" s="68"/>
      <c r="D63" s="95"/>
      <c r="E63" s="68"/>
      <c r="F63" s="85">
        <v>163</v>
      </c>
      <c r="G63" s="97" t="s">
        <v>58</v>
      </c>
      <c r="H63" s="92">
        <f t="shared" si="14"/>
        <v>15340</v>
      </c>
      <c r="I63" s="92">
        <v>0</v>
      </c>
      <c r="J63" s="92">
        <v>839</v>
      </c>
      <c r="K63" s="92">
        <v>1678</v>
      </c>
      <c r="L63" s="81">
        <v>839</v>
      </c>
      <c r="M63" s="81">
        <v>839</v>
      </c>
      <c r="N63" s="81">
        <v>1109</v>
      </c>
      <c r="O63" s="81">
        <v>1109</v>
      </c>
      <c r="P63" s="81">
        <v>5571</v>
      </c>
      <c r="Q63" s="81">
        <v>839</v>
      </c>
      <c r="R63" s="81">
        <v>839</v>
      </c>
      <c r="S63" s="81">
        <v>839</v>
      </c>
      <c r="T63" s="81">
        <v>839</v>
      </c>
      <c r="U63" s="81">
        <v>869</v>
      </c>
      <c r="V63" s="81">
        <v>869</v>
      </c>
      <c r="X63"/>
      <c r="Y63"/>
      <c r="Z63"/>
      <c r="AA63"/>
      <c r="AB63"/>
      <c r="AC63" s="3"/>
    </row>
    <row r="64" spans="1:29" s="5" customFormat="1" ht="18.75">
      <c r="A64"/>
      <c r="B64" s="88"/>
      <c r="C64" s="68"/>
      <c r="D64" s="95"/>
      <c r="E64" s="68"/>
      <c r="F64" s="85">
        <v>169</v>
      </c>
      <c r="G64" s="97" t="s">
        <v>59</v>
      </c>
      <c r="H64" s="92">
        <f t="shared" si="14"/>
        <v>171</v>
      </c>
      <c r="I64" s="92"/>
      <c r="J64" s="92"/>
      <c r="K64" s="92"/>
      <c r="L64" s="81"/>
      <c r="M64" s="81">
        <v>85</v>
      </c>
      <c r="N64" s="81"/>
      <c r="O64" s="81"/>
      <c r="P64" s="81"/>
      <c r="Q64" s="81"/>
      <c r="R64" s="81"/>
      <c r="S64" s="81">
        <v>86</v>
      </c>
      <c r="T64" s="81"/>
      <c r="U64" s="81">
        <v>378</v>
      </c>
      <c r="V64" s="81">
        <v>378</v>
      </c>
      <c r="X64"/>
      <c r="Y64"/>
      <c r="Z64"/>
      <c r="AA64"/>
      <c r="AB64"/>
      <c r="AC64" s="3"/>
    </row>
    <row r="65" spans="1:29" s="5" customFormat="1" ht="56.25">
      <c r="A65"/>
      <c r="B65" s="73"/>
      <c r="C65" s="74"/>
      <c r="D65" s="84" t="s">
        <v>60</v>
      </c>
      <c r="E65" s="84" t="s">
        <v>38</v>
      </c>
      <c r="F65" s="76"/>
      <c r="G65" s="98" t="s">
        <v>61</v>
      </c>
      <c r="H65" s="87">
        <f>H66</f>
        <v>5260</v>
      </c>
      <c r="I65" s="87">
        <f t="shared" ref="I65:T65" si="15">I66</f>
        <v>0</v>
      </c>
      <c r="J65" s="87">
        <f t="shared" si="15"/>
        <v>0</v>
      </c>
      <c r="K65" s="87">
        <f t="shared" si="15"/>
        <v>0</v>
      </c>
      <c r="L65" s="87">
        <f t="shared" si="15"/>
        <v>0</v>
      </c>
      <c r="M65" s="87">
        <f t="shared" si="15"/>
        <v>0</v>
      </c>
      <c r="N65" s="87">
        <f t="shared" si="15"/>
        <v>5260</v>
      </c>
      <c r="O65" s="87">
        <f t="shared" si="15"/>
        <v>0</v>
      </c>
      <c r="P65" s="87">
        <f t="shared" si="15"/>
        <v>0</v>
      </c>
      <c r="Q65" s="87">
        <f t="shared" si="15"/>
        <v>0</v>
      </c>
      <c r="R65" s="87">
        <f t="shared" si="15"/>
        <v>0</v>
      </c>
      <c r="S65" s="87">
        <f t="shared" si="15"/>
        <v>0</v>
      </c>
      <c r="T65" s="87">
        <f t="shared" si="15"/>
        <v>0</v>
      </c>
      <c r="U65" s="81">
        <v>235</v>
      </c>
      <c r="V65" s="81">
        <v>235</v>
      </c>
      <c r="X65"/>
      <c r="Y65"/>
      <c r="Z65"/>
      <c r="AA65"/>
      <c r="AB65"/>
      <c r="AC65" s="3"/>
    </row>
    <row r="66" spans="1:29" s="5" customFormat="1" ht="37.5">
      <c r="A66"/>
      <c r="B66" s="73"/>
      <c r="C66" s="74"/>
      <c r="D66" s="74"/>
      <c r="E66" s="74"/>
      <c r="F66" s="74">
        <v>414</v>
      </c>
      <c r="G66" s="80" t="s">
        <v>62</v>
      </c>
      <c r="H66" s="74">
        <f t="shared" ref="H66" si="16">I66+J66+K66+L66+M66+N66+O66+P66+Q66+R66+S66+T66</f>
        <v>5260</v>
      </c>
      <c r="I66" s="74"/>
      <c r="J66" s="74"/>
      <c r="K66" s="74"/>
      <c r="L66" s="74"/>
      <c r="M66" s="74"/>
      <c r="N66" s="74">
        <v>5260</v>
      </c>
      <c r="O66" s="74"/>
      <c r="P66" s="74"/>
      <c r="Q66" s="74"/>
      <c r="R66" s="74"/>
      <c r="S66" s="81"/>
      <c r="T66" s="74"/>
      <c r="U66" s="81"/>
      <c r="V66" s="81"/>
      <c r="X66"/>
      <c r="Y66"/>
      <c r="Z66"/>
      <c r="AA66"/>
      <c r="AB66"/>
      <c r="AC66" s="3"/>
    </row>
    <row r="67" spans="1:29" s="5" customFormat="1" ht="56.25">
      <c r="A67"/>
      <c r="B67" s="73"/>
      <c r="C67" s="74"/>
      <c r="D67" s="84" t="s">
        <v>63</v>
      </c>
      <c r="E67" s="84" t="s">
        <v>49</v>
      </c>
      <c r="F67" s="74"/>
      <c r="G67" s="79" t="s">
        <v>64</v>
      </c>
      <c r="H67" s="73">
        <f>H68</f>
        <v>14334</v>
      </c>
      <c r="I67" s="73">
        <f t="shared" ref="I67:T67" si="17">I68</f>
        <v>0</v>
      </c>
      <c r="J67" s="73">
        <f t="shared" si="17"/>
        <v>0</v>
      </c>
      <c r="K67" s="73">
        <f t="shared" si="17"/>
        <v>0</v>
      </c>
      <c r="L67" s="73">
        <f t="shared" si="17"/>
        <v>0</v>
      </c>
      <c r="M67" s="73">
        <f t="shared" si="17"/>
        <v>14334</v>
      </c>
      <c r="N67" s="73">
        <f t="shared" si="17"/>
        <v>0</v>
      </c>
      <c r="O67" s="73">
        <f t="shared" si="17"/>
        <v>0</v>
      </c>
      <c r="P67" s="73">
        <f t="shared" si="17"/>
        <v>0</v>
      </c>
      <c r="Q67" s="73">
        <f t="shared" si="17"/>
        <v>0</v>
      </c>
      <c r="R67" s="73">
        <f t="shared" si="17"/>
        <v>0</v>
      </c>
      <c r="S67" s="73">
        <f t="shared" si="17"/>
        <v>0</v>
      </c>
      <c r="T67" s="73">
        <f t="shared" si="17"/>
        <v>0</v>
      </c>
      <c r="U67" s="81"/>
      <c r="V67" s="81"/>
      <c r="X67"/>
      <c r="Y67"/>
      <c r="Z67"/>
      <c r="AA67"/>
      <c r="AB67"/>
      <c r="AC67" s="3"/>
    </row>
    <row r="68" spans="1:29" s="5" customFormat="1" ht="37.5">
      <c r="A68"/>
      <c r="B68" s="88"/>
      <c r="C68" s="68"/>
      <c r="D68" s="95"/>
      <c r="E68" s="68"/>
      <c r="F68" s="68">
        <v>414</v>
      </c>
      <c r="G68" s="80" t="s">
        <v>62</v>
      </c>
      <c r="H68" s="74">
        <f t="shared" ref="H68" si="18">I68+J68+K68+L68+M68+N68+O68+P68+Q68+R68+S68+T68</f>
        <v>14334</v>
      </c>
      <c r="I68" s="92"/>
      <c r="J68" s="92"/>
      <c r="K68" s="92"/>
      <c r="L68" s="81"/>
      <c r="M68" s="81">
        <v>14334</v>
      </c>
      <c r="N68" s="81"/>
      <c r="O68" s="81"/>
      <c r="P68" s="81"/>
      <c r="Q68" s="81"/>
      <c r="R68" s="81"/>
      <c r="S68" s="81"/>
      <c r="T68" s="81"/>
      <c r="U68" s="99" t="e">
        <f>U59+U29</f>
        <v>#REF!</v>
      </c>
      <c r="V68" s="99" t="e">
        <f>V59+V29</f>
        <v>#REF!</v>
      </c>
      <c r="X68"/>
      <c r="Y68"/>
      <c r="Z68"/>
      <c r="AA68"/>
      <c r="AB68"/>
      <c r="AC68" s="3"/>
    </row>
    <row r="69" spans="1:29" s="5" customFormat="1" ht="18.75">
      <c r="A69"/>
      <c r="B69" s="88"/>
      <c r="C69" s="68"/>
      <c r="D69" s="68"/>
      <c r="E69" s="68"/>
      <c r="F69" s="68"/>
      <c r="G69" s="69" t="s">
        <v>65</v>
      </c>
      <c r="H69" s="99">
        <f>H67+H65+H51+H29</f>
        <v>424165</v>
      </c>
      <c r="I69" s="99">
        <f t="shared" ref="I69:T69" si="19">I67+I65+I51+I29</f>
        <v>37996</v>
      </c>
      <c r="J69" s="99">
        <f t="shared" si="19"/>
        <v>44822</v>
      </c>
      <c r="K69" s="99">
        <f t="shared" si="19"/>
        <v>48187</v>
      </c>
      <c r="L69" s="99">
        <f t="shared" si="19"/>
        <v>43830</v>
      </c>
      <c r="M69" s="99">
        <f t="shared" si="19"/>
        <v>85397</v>
      </c>
      <c r="N69" s="99">
        <f t="shared" si="19"/>
        <v>56243</v>
      </c>
      <c r="O69" s="99">
        <f t="shared" si="19"/>
        <v>12905</v>
      </c>
      <c r="P69" s="99">
        <f t="shared" si="19"/>
        <v>18601</v>
      </c>
      <c r="Q69" s="99">
        <f t="shared" si="19"/>
        <v>18940</v>
      </c>
      <c r="R69" s="99">
        <f t="shared" si="19"/>
        <v>18990</v>
      </c>
      <c r="S69" s="99">
        <f t="shared" si="19"/>
        <v>19072</v>
      </c>
      <c r="T69" s="99">
        <f t="shared" si="19"/>
        <v>19182</v>
      </c>
      <c r="U69"/>
      <c r="V69"/>
      <c r="X69"/>
      <c r="Y69"/>
      <c r="Z69"/>
      <c r="AA69"/>
      <c r="AB69"/>
      <c r="AC69" s="3"/>
    </row>
    <row r="70" spans="1:29" s="5" customFormat="1" ht="22.5">
      <c r="A70"/>
      <c r="B70" s="100"/>
      <c r="C70" s="101"/>
      <c r="D70" s="102"/>
      <c r="E70" s="103"/>
      <c r="F70" s="104"/>
      <c r="G70" s="105"/>
      <c r="H70" s="105"/>
      <c r="I70" s="105"/>
      <c r="J70" s="105"/>
      <c r="K70" s="106"/>
      <c r="L70" s="106"/>
      <c r="M70" s="105"/>
      <c r="N70" s="105"/>
      <c r="O70" s="107"/>
      <c r="P70" s="108"/>
      <c r="Q70" s="26"/>
      <c r="R70" s="27"/>
      <c r="S70" s="26"/>
      <c r="T70" s="27"/>
      <c r="U70"/>
      <c r="V70"/>
      <c r="X70"/>
      <c r="Y70"/>
      <c r="Z70"/>
      <c r="AA70"/>
      <c r="AB70"/>
      <c r="AC70" s="3"/>
    </row>
    <row r="71" spans="1:29" s="5" customFormat="1" ht="21.75">
      <c r="A71"/>
      <c r="B71" s="100"/>
      <c r="C71" s="101" t="s">
        <v>66</v>
      </c>
      <c r="D71" s="109"/>
      <c r="E71" s="110"/>
      <c r="F71" s="111"/>
      <c r="G71" s="105"/>
      <c r="H71" s="105"/>
      <c r="I71" s="105"/>
      <c r="J71" s="105"/>
      <c r="K71" s="106"/>
      <c r="L71" s="106"/>
      <c r="M71" s="105"/>
      <c r="N71" s="112"/>
      <c r="O71" s="113"/>
      <c r="P71" s="113"/>
      <c r="Q71" s="114"/>
      <c r="R71" s="115"/>
      <c r="S71" s="114"/>
      <c r="T71" s="114"/>
      <c r="U71"/>
      <c r="V71"/>
      <c r="X71"/>
      <c r="Y71"/>
      <c r="Z71"/>
      <c r="AA71"/>
      <c r="AB71"/>
      <c r="AC71" s="3"/>
    </row>
    <row r="72" spans="1:29" s="5" customFormat="1" ht="22.5">
      <c r="A72"/>
      <c r="B72" s="100"/>
      <c r="C72" s="101" t="s">
        <v>67</v>
      </c>
      <c r="D72" s="102"/>
      <c r="E72" s="103"/>
      <c r="F72" s="104"/>
      <c r="G72" s="105"/>
      <c r="H72" s="105"/>
      <c r="I72" s="105"/>
      <c r="J72" s="105"/>
      <c r="K72" s="106"/>
      <c r="L72" s="106"/>
      <c r="M72" s="105" t="s">
        <v>68</v>
      </c>
      <c r="N72" s="105" t="s">
        <v>69</v>
      </c>
      <c r="O72" s="108"/>
      <c r="P72" s="108"/>
      <c r="Q72" s="26"/>
      <c r="R72" s="27"/>
      <c r="S72" s="26"/>
      <c r="T72" s="27"/>
      <c r="U72"/>
      <c r="V72"/>
      <c r="X72"/>
      <c r="Y72"/>
      <c r="Z72"/>
      <c r="AA72"/>
      <c r="AB72"/>
      <c r="AC72" s="3"/>
    </row>
    <row r="78" spans="1:29" ht="21">
      <c r="P78" s="23" t="s">
        <v>1</v>
      </c>
      <c r="Q78" s="23"/>
      <c r="R78" s="23"/>
      <c r="S78" s="23"/>
      <c r="T78" s="24"/>
    </row>
    <row r="79" spans="1:29" ht="21">
      <c r="P79" s="23"/>
      <c r="Q79" s="23"/>
      <c r="R79" s="23"/>
      <c r="S79" s="23"/>
      <c r="T79" s="24"/>
    </row>
    <row r="80" spans="1:29" ht="21">
      <c r="P80" s="23"/>
      <c r="Q80" s="23"/>
      <c r="R80" s="23"/>
      <c r="S80" s="23"/>
      <c r="T80" s="24"/>
    </row>
    <row r="81" spans="2:20" ht="20.25">
      <c r="B81" s="25"/>
      <c r="C81" s="25"/>
      <c r="D81" s="25"/>
      <c r="E81" s="25"/>
      <c r="F81" s="25"/>
      <c r="G81" s="25"/>
      <c r="H81" s="25"/>
      <c r="I81" s="25"/>
      <c r="J81" s="25"/>
      <c r="K81" s="26"/>
      <c r="L81" s="26"/>
      <c r="M81" s="26"/>
      <c r="N81" s="26"/>
      <c r="O81" s="27"/>
      <c r="P81" s="23"/>
      <c r="Q81" s="23"/>
      <c r="R81" s="23"/>
      <c r="S81" s="23"/>
      <c r="T81" s="28"/>
    </row>
    <row r="82" spans="2:20" ht="20.25">
      <c r="B82" s="29"/>
      <c r="C82" s="30"/>
      <c r="D82" s="30"/>
      <c r="E82" s="30"/>
      <c r="F82" s="30"/>
      <c r="G82" s="27"/>
      <c r="H82" s="30"/>
      <c r="I82" s="30"/>
      <c r="J82" s="30"/>
      <c r="K82" s="31"/>
      <c r="L82" s="31"/>
      <c r="M82" s="31"/>
      <c r="N82" s="31"/>
      <c r="O82" s="32"/>
      <c r="P82" s="33" t="s">
        <v>2</v>
      </c>
      <c r="Q82" s="34"/>
      <c r="R82" s="35"/>
      <c r="S82" s="36"/>
      <c r="T82" s="37"/>
    </row>
    <row r="83" spans="2:20" ht="20.25">
      <c r="B83" s="29"/>
      <c r="C83" s="30"/>
      <c r="D83" s="30"/>
      <c r="E83" s="30"/>
      <c r="F83" s="30"/>
      <c r="G83" s="30"/>
      <c r="H83" s="30"/>
      <c r="I83" s="30"/>
      <c r="J83" s="30"/>
      <c r="K83" s="31"/>
      <c r="L83" s="31"/>
      <c r="M83" s="31"/>
      <c r="N83" s="31"/>
      <c r="O83" s="32"/>
      <c r="P83" s="38" t="s">
        <v>3</v>
      </c>
      <c r="Q83" s="38"/>
      <c r="R83" s="38"/>
      <c r="S83" s="38"/>
      <c r="T83" s="38"/>
    </row>
    <row r="84" spans="2:20" ht="20.25">
      <c r="B84" s="29"/>
      <c r="C84" s="30"/>
      <c r="D84" s="30"/>
      <c r="E84" s="30"/>
      <c r="F84" s="30"/>
      <c r="G84" s="30"/>
      <c r="H84" s="30"/>
      <c r="I84" s="30"/>
      <c r="J84" s="30"/>
      <c r="K84" s="31"/>
      <c r="L84" s="31"/>
      <c r="M84" s="31"/>
      <c r="N84" s="31"/>
      <c r="O84" s="32"/>
      <c r="P84" s="35" t="s">
        <v>4</v>
      </c>
      <c r="Q84" s="36"/>
      <c r="R84" s="35"/>
      <c r="S84" s="36"/>
      <c r="T84" s="37"/>
    </row>
    <row r="85" spans="2:20" ht="20.25">
      <c r="B85" s="29"/>
      <c r="C85" s="30"/>
      <c r="D85" s="30"/>
      <c r="E85" s="30"/>
      <c r="F85" s="30"/>
      <c r="G85" s="30"/>
      <c r="H85" s="30"/>
      <c r="I85" s="30"/>
      <c r="J85" s="30"/>
      <c r="K85" s="31"/>
      <c r="L85" s="39"/>
      <c r="M85" s="39"/>
      <c r="N85" s="39"/>
      <c r="O85" s="40"/>
      <c r="P85" s="41" t="s">
        <v>5</v>
      </c>
      <c r="Q85" s="42"/>
      <c r="R85" s="42"/>
      <c r="S85" s="42"/>
      <c r="T85" s="43"/>
    </row>
    <row r="86" spans="2:20" ht="59.25" customHeight="1">
      <c r="B86" s="44" t="s">
        <v>70</v>
      </c>
      <c r="C86" s="44"/>
      <c r="D86" s="44"/>
      <c r="E86" s="44"/>
      <c r="F86" s="44"/>
      <c r="G86" s="44"/>
      <c r="H86" s="44"/>
      <c r="I86" s="44"/>
      <c r="J86" s="44"/>
      <c r="K86" s="44"/>
      <c r="L86" s="44"/>
      <c r="M86" s="44"/>
      <c r="N86" s="44"/>
      <c r="O86" s="44"/>
      <c r="P86" s="44"/>
      <c r="Q86" s="44"/>
      <c r="R86" s="44"/>
      <c r="S86" s="44"/>
      <c r="T86" s="44"/>
    </row>
    <row r="87" spans="2:20" ht="18.75">
      <c r="B87" s="45" t="s">
        <v>7</v>
      </c>
      <c r="C87" s="30"/>
      <c r="D87" s="30"/>
      <c r="E87" s="30"/>
      <c r="F87" s="30"/>
      <c r="G87" s="30"/>
      <c r="H87" s="30"/>
      <c r="I87" s="30"/>
      <c r="J87" s="30"/>
      <c r="K87" s="31"/>
      <c r="L87" s="46"/>
      <c r="M87" s="46"/>
      <c r="N87" s="47"/>
      <c r="O87" s="48"/>
      <c r="P87" s="48"/>
      <c r="Q87" s="46"/>
      <c r="R87" s="48"/>
      <c r="S87" s="46"/>
      <c r="T87" s="48"/>
    </row>
    <row r="88" spans="2:20" ht="18.75">
      <c r="B88" s="49" t="s">
        <v>8</v>
      </c>
      <c r="C88" s="49"/>
      <c r="D88" s="49"/>
      <c r="E88" s="49"/>
      <c r="F88" s="49"/>
      <c r="G88" s="49"/>
      <c r="H88" s="30"/>
      <c r="I88" s="30"/>
      <c r="J88" s="30"/>
      <c r="K88" s="31"/>
      <c r="L88" s="46"/>
      <c r="M88" s="46"/>
      <c r="N88" s="47"/>
      <c r="O88" s="48"/>
      <c r="P88" s="48"/>
      <c r="Q88" s="46"/>
      <c r="R88" s="48"/>
      <c r="S88" s="46"/>
      <c r="T88" s="48"/>
    </row>
    <row r="89" spans="2:20" ht="18.75">
      <c r="B89" s="50" t="s">
        <v>9</v>
      </c>
      <c r="C89" s="50"/>
      <c r="D89" s="50"/>
      <c r="E89" s="50"/>
      <c r="F89" s="50"/>
      <c r="G89" s="30"/>
      <c r="H89" s="30"/>
      <c r="I89" s="30"/>
      <c r="J89" s="30"/>
      <c r="K89" s="31"/>
      <c r="L89" s="46"/>
      <c r="M89" s="46"/>
      <c r="N89" s="47"/>
      <c r="O89" s="48"/>
      <c r="P89" s="48"/>
      <c r="Q89" s="46"/>
      <c r="R89" s="48"/>
      <c r="S89" s="46"/>
      <c r="T89" s="48"/>
    </row>
    <row r="90" spans="2:20" ht="18.75">
      <c r="B90" s="49" t="s">
        <v>10</v>
      </c>
      <c r="C90" s="49"/>
      <c r="D90" s="49"/>
      <c r="E90" s="49"/>
      <c r="F90" s="49"/>
      <c r="G90" s="49"/>
      <c r="H90" s="30"/>
      <c r="I90" s="30"/>
      <c r="J90" s="30"/>
      <c r="K90" s="31"/>
      <c r="L90" s="46"/>
      <c r="M90" s="46"/>
      <c r="N90" s="47"/>
      <c r="O90" s="48"/>
      <c r="P90" s="48"/>
      <c r="Q90" s="46"/>
      <c r="R90" s="48"/>
      <c r="S90" s="46"/>
      <c r="T90" s="48"/>
    </row>
    <row r="91" spans="2:20" ht="18.75">
      <c r="B91" s="45" t="s">
        <v>11</v>
      </c>
      <c r="C91" s="30"/>
      <c r="D91" s="30"/>
      <c r="E91" s="30"/>
      <c r="F91" s="30"/>
      <c r="G91" s="30"/>
      <c r="H91" s="30"/>
      <c r="I91" s="30"/>
      <c r="J91" s="30"/>
      <c r="K91" s="31"/>
      <c r="L91" s="46"/>
      <c r="M91" s="46"/>
      <c r="N91" s="47"/>
      <c r="O91" s="48"/>
      <c r="P91" s="48"/>
      <c r="Q91" s="46"/>
      <c r="R91" s="48"/>
      <c r="S91" s="46"/>
      <c r="T91" s="48"/>
    </row>
    <row r="92" spans="2:20" ht="18.75">
      <c r="B92" s="45" t="s">
        <v>12</v>
      </c>
      <c r="C92" s="45"/>
      <c r="D92" s="45"/>
      <c r="E92" s="45"/>
      <c r="F92" s="45"/>
      <c r="G92" s="45"/>
      <c r="H92" s="45"/>
      <c r="I92" s="45"/>
      <c r="J92" s="30"/>
      <c r="K92" s="31"/>
      <c r="L92" s="46"/>
      <c r="M92" s="46"/>
      <c r="N92" s="47"/>
      <c r="O92" s="48"/>
      <c r="P92" s="48"/>
      <c r="Q92" s="46"/>
      <c r="R92" s="48"/>
      <c r="S92" s="46"/>
      <c r="T92" s="48"/>
    </row>
    <row r="93" spans="2:20" ht="18.75">
      <c r="B93" s="45"/>
      <c r="C93" s="45"/>
      <c r="D93" s="45"/>
      <c r="E93" s="45"/>
      <c r="F93" s="45"/>
      <c r="G93" s="45"/>
      <c r="H93" s="45"/>
      <c r="I93" s="45"/>
      <c r="J93" s="30"/>
      <c r="K93" s="31"/>
      <c r="L93" s="46"/>
      <c r="M93" s="46"/>
      <c r="N93" s="47"/>
      <c r="O93" s="48"/>
      <c r="P93" s="48"/>
      <c r="Q93" s="46"/>
      <c r="R93" s="48"/>
      <c r="S93" s="46"/>
      <c r="T93" s="53" t="s">
        <v>13</v>
      </c>
    </row>
    <row r="94" spans="2:20" ht="20.25" customHeight="1">
      <c r="B94" s="54" t="s">
        <v>14</v>
      </c>
      <c r="C94" s="54" t="s">
        <v>15</v>
      </c>
      <c r="D94" s="55" t="s">
        <v>16</v>
      </c>
      <c r="E94" s="55" t="s">
        <v>17</v>
      </c>
      <c r="F94" s="55" t="s">
        <v>18</v>
      </c>
      <c r="G94" s="56" t="s">
        <v>19</v>
      </c>
      <c r="H94" s="57" t="s">
        <v>20</v>
      </c>
      <c r="I94" s="58" t="s">
        <v>21</v>
      </c>
      <c r="J94" s="59"/>
      <c r="K94" s="59"/>
      <c r="L94" s="59"/>
      <c r="M94" s="59"/>
      <c r="N94" s="59"/>
      <c r="O94" s="59"/>
      <c r="P94" s="59"/>
      <c r="Q94" s="59"/>
      <c r="R94" s="59"/>
      <c r="S94" s="59"/>
      <c r="T94" s="60"/>
    </row>
    <row r="95" spans="2:20" ht="18.75" customHeight="1">
      <c r="B95" s="61"/>
      <c r="C95" s="61"/>
      <c r="D95" s="62"/>
      <c r="E95" s="62"/>
      <c r="F95" s="62"/>
      <c r="G95" s="63"/>
      <c r="H95" s="64"/>
      <c r="I95" s="65" t="s">
        <v>22</v>
      </c>
      <c r="J95" s="65" t="s">
        <v>23</v>
      </c>
      <c r="K95" s="66" t="s">
        <v>24</v>
      </c>
      <c r="L95" s="66" t="s">
        <v>25</v>
      </c>
      <c r="M95" s="66" t="s">
        <v>26</v>
      </c>
      <c r="N95" s="66" t="s">
        <v>27</v>
      </c>
      <c r="O95" s="65" t="s">
        <v>28</v>
      </c>
      <c r="P95" s="65" t="s">
        <v>29</v>
      </c>
      <c r="Q95" s="66" t="s">
        <v>30</v>
      </c>
      <c r="R95" s="65" t="s">
        <v>31</v>
      </c>
      <c r="S95" s="66" t="s">
        <v>32</v>
      </c>
      <c r="T95" s="65" t="s">
        <v>33</v>
      </c>
    </row>
    <row r="96" spans="2:20" ht="37.5">
      <c r="B96" s="67"/>
      <c r="C96" s="68"/>
      <c r="D96" s="68"/>
      <c r="E96" s="68"/>
      <c r="F96" s="68"/>
      <c r="G96" s="69" t="s">
        <v>34</v>
      </c>
      <c r="H96" s="65"/>
      <c r="I96" s="65"/>
      <c r="J96" s="65"/>
      <c r="K96" s="66"/>
      <c r="L96" s="66"/>
      <c r="M96" s="66"/>
      <c r="N96" s="66"/>
      <c r="O96" s="65"/>
      <c r="P96" s="65"/>
      <c r="Q96" s="66"/>
      <c r="R96" s="65"/>
      <c r="S96" s="66"/>
      <c r="T96" s="65"/>
    </row>
    <row r="97" spans="2:20" ht="18.75">
      <c r="B97" s="67"/>
      <c r="C97" s="68">
        <v>261</v>
      </c>
      <c r="D97" s="68"/>
      <c r="E97" s="68"/>
      <c r="F97" s="68"/>
      <c r="G97" s="69" t="s">
        <v>35</v>
      </c>
      <c r="H97" s="70"/>
      <c r="I97" s="71"/>
      <c r="J97" s="71"/>
      <c r="K97" s="71"/>
      <c r="L97" s="71"/>
      <c r="M97" s="71"/>
      <c r="N97" s="71"/>
      <c r="O97" s="71"/>
      <c r="P97" s="71"/>
      <c r="Q97" s="71"/>
      <c r="R97" s="71"/>
      <c r="S97" s="71"/>
      <c r="T97" s="72"/>
    </row>
    <row r="98" spans="2:20" ht="18.75">
      <c r="B98" s="73"/>
      <c r="C98" s="74"/>
      <c r="D98" s="75" t="s">
        <v>36</v>
      </c>
      <c r="E98" s="74"/>
      <c r="F98" s="76"/>
      <c r="G98" s="77" t="s">
        <v>37</v>
      </c>
      <c r="H98" s="78"/>
      <c r="I98" s="78"/>
      <c r="J98" s="78"/>
      <c r="K98" s="78"/>
      <c r="L98" s="78"/>
      <c r="M98" s="78"/>
      <c r="N98" s="78"/>
      <c r="O98" s="78"/>
      <c r="P98" s="78"/>
      <c r="Q98" s="78"/>
      <c r="R98" s="78"/>
      <c r="S98" s="78"/>
      <c r="T98" s="78"/>
    </row>
    <row r="99" spans="2:20" ht="37.5">
      <c r="B99" s="73"/>
      <c r="C99" s="74"/>
      <c r="D99" s="75"/>
      <c r="E99" s="75" t="s">
        <v>38</v>
      </c>
      <c r="F99" s="76"/>
      <c r="G99" s="79" t="s">
        <v>39</v>
      </c>
      <c r="H99" s="78">
        <f>H100+H101+H102+H103+H104</f>
        <v>150596</v>
      </c>
      <c r="I99" s="78">
        <f t="shared" ref="I99:T99" si="20">I100+I101+I102+I103+I104</f>
        <v>150596</v>
      </c>
      <c r="J99" s="78">
        <f t="shared" si="20"/>
        <v>0</v>
      </c>
      <c r="K99" s="78">
        <f t="shared" si="20"/>
        <v>0</v>
      </c>
      <c r="L99" s="78">
        <f t="shared" si="20"/>
        <v>0</v>
      </c>
      <c r="M99" s="78">
        <f t="shared" si="20"/>
        <v>0</v>
      </c>
      <c r="N99" s="78">
        <f t="shared" si="20"/>
        <v>0</v>
      </c>
      <c r="O99" s="78">
        <f t="shared" si="20"/>
        <v>0</v>
      </c>
      <c r="P99" s="78">
        <f t="shared" si="20"/>
        <v>0</v>
      </c>
      <c r="Q99" s="78">
        <f t="shared" si="20"/>
        <v>0</v>
      </c>
      <c r="R99" s="78">
        <f t="shared" si="20"/>
        <v>0</v>
      </c>
      <c r="S99" s="78">
        <f t="shared" si="20"/>
        <v>0</v>
      </c>
      <c r="T99" s="78">
        <f t="shared" si="20"/>
        <v>0</v>
      </c>
    </row>
    <row r="100" spans="2:20" ht="18.75">
      <c r="B100" s="73"/>
      <c r="C100" s="74"/>
      <c r="D100" s="75"/>
      <c r="E100" s="74"/>
      <c r="F100" s="76">
        <v>111</v>
      </c>
      <c r="G100" s="80" t="s">
        <v>40</v>
      </c>
      <c r="H100" s="81">
        <f>SUM(I100:T100)</f>
        <v>133311</v>
      </c>
      <c r="I100" s="81">
        <f>I106+I111+I117</f>
        <v>133311</v>
      </c>
      <c r="J100" s="81">
        <f t="shared" ref="J100:T100" si="21">J106+J111+J117</f>
        <v>0</v>
      </c>
      <c r="K100" s="81">
        <f t="shared" si="21"/>
        <v>0</v>
      </c>
      <c r="L100" s="81">
        <f t="shared" si="21"/>
        <v>0</v>
      </c>
      <c r="M100" s="81">
        <f t="shared" si="21"/>
        <v>0</v>
      </c>
      <c r="N100" s="81">
        <f t="shared" si="21"/>
        <v>0</v>
      </c>
      <c r="O100" s="81">
        <f t="shared" si="21"/>
        <v>0</v>
      </c>
      <c r="P100" s="81">
        <f t="shared" si="21"/>
        <v>0</v>
      </c>
      <c r="Q100" s="81">
        <f t="shared" si="21"/>
        <v>0</v>
      </c>
      <c r="R100" s="81">
        <f t="shared" si="21"/>
        <v>0</v>
      </c>
      <c r="S100" s="81">
        <f t="shared" si="21"/>
        <v>0</v>
      </c>
      <c r="T100" s="81">
        <f t="shared" si="21"/>
        <v>0</v>
      </c>
    </row>
    <row r="101" spans="2:20" ht="18.75">
      <c r="B101" s="73"/>
      <c r="C101" s="74"/>
      <c r="D101" s="75"/>
      <c r="E101" s="74"/>
      <c r="F101" s="76">
        <v>113</v>
      </c>
      <c r="G101" s="82" t="s">
        <v>41</v>
      </c>
      <c r="H101" s="81">
        <f t="shared" ref="H101:H104" si="22">SUM(I101:T101)</f>
        <v>3260</v>
      </c>
      <c r="I101" s="81">
        <f>I112</f>
        <v>3260</v>
      </c>
      <c r="J101" s="81">
        <f t="shared" ref="J101:S101" si="23">J112</f>
        <v>0</v>
      </c>
      <c r="K101" s="81">
        <f t="shared" si="23"/>
        <v>0</v>
      </c>
      <c r="L101" s="81">
        <f t="shared" si="23"/>
        <v>0</v>
      </c>
      <c r="M101" s="81">
        <f t="shared" si="23"/>
        <v>0</v>
      </c>
      <c r="N101" s="81">
        <f t="shared" si="23"/>
        <v>0</v>
      </c>
      <c r="O101" s="81">
        <f t="shared" si="23"/>
        <v>0</v>
      </c>
      <c r="P101" s="81">
        <f t="shared" si="23"/>
        <v>0</v>
      </c>
      <c r="Q101" s="81">
        <f t="shared" si="23"/>
        <v>0</v>
      </c>
      <c r="R101" s="81">
        <f t="shared" si="23"/>
        <v>0</v>
      </c>
      <c r="S101" s="81">
        <f t="shared" si="23"/>
        <v>0</v>
      </c>
      <c r="T101" s="81">
        <f>T112</f>
        <v>0</v>
      </c>
    </row>
    <row r="102" spans="2:20" ht="18.75">
      <c r="B102" s="73"/>
      <c r="C102" s="74"/>
      <c r="D102" s="75"/>
      <c r="E102" s="74"/>
      <c r="F102" s="76">
        <v>121</v>
      </c>
      <c r="G102" s="80" t="s">
        <v>42</v>
      </c>
      <c r="H102" s="81">
        <f t="shared" si="22"/>
        <v>7180</v>
      </c>
      <c r="I102" s="81">
        <f>I107+I113+I118</f>
        <v>7180</v>
      </c>
      <c r="J102" s="81">
        <f t="shared" ref="J102:T102" si="24">J107+J113+J118</f>
        <v>0</v>
      </c>
      <c r="K102" s="81">
        <f t="shared" si="24"/>
        <v>0</v>
      </c>
      <c r="L102" s="81">
        <f t="shared" si="24"/>
        <v>0</v>
      </c>
      <c r="M102" s="81">
        <f t="shared" si="24"/>
        <v>0</v>
      </c>
      <c r="N102" s="81">
        <f t="shared" si="24"/>
        <v>0</v>
      </c>
      <c r="O102" s="81">
        <f t="shared" si="24"/>
        <v>0</v>
      </c>
      <c r="P102" s="81">
        <f t="shared" si="24"/>
        <v>0</v>
      </c>
      <c r="Q102" s="81">
        <f t="shared" si="24"/>
        <v>0</v>
      </c>
      <c r="R102" s="81">
        <f t="shared" si="24"/>
        <v>0</v>
      </c>
      <c r="S102" s="81">
        <f t="shared" si="24"/>
        <v>0</v>
      </c>
      <c r="T102" s="81">
        <f t="shared" si="24"/>
        <v>0</v>
      </c>
    </row>
    <row r="103" spans="2:20" ht="37.5">
      <c r="B103" s="73"/>
      <c r="C103" s="74"/>
      <c r="D103" s="75"/>
      <c r="E103" s="74"/>
      <c r="F103" s="76">
        <v>122</v>
      </c>
      <c r="G103" s="80" t="s">
        <v>43</v>
      </c>
      <c r="H103" s="81">
        <f t="shared" si="22"/>
        <v>4183</v>
      </c>
      <c r="I103" s="81">
        <f t="shared" ref="I103:T104" si="25">I108+I114+I119</f>
        <v>4183</v>
      </c>
      <c r="J103" s="81">
        <f t="shared" si="25"/>
        <v>0</v>
      </c>
      <c r="K103" s="81">
        <f t="shared" si="25"/>
        <v>0</v>
      </c>
      <c r="L103" s="81">
        <f t="shared" si="25"/>
        <v>0</v>
      </c>
      <c r="M103" s="81">
        <f t="shared" si="25"/>
        <v>0</v>
      </c>
      <c r="N103" s="81">
        <f t="shared" si="25"/>
        <v>0</v>
      </c>
      <c r="O103" s="81">
        <f t="shared" si="25"/>
        <v>0</v>
      </c>
      <c r="P103" s="81">
        <f t="shared" si="25"/>
        <v>0</v>
      </c>
      <c r="Q103" s="81">
        <f t="shared" si="25"/>
        <v>0</v>
      </c>
      <c r="R103" s="81">
        <f t="shared" si="25"/>
        <v>0</v>
      </c>
      <c r="S103" s="81">
        <f t="shared" si="25"/>
        <v>0</v>
      </c>
      <c r="T103" s="81">
        <f t="shared" si="25"/>
        <v>0</v>
      </c>
    </row>
    <row r="104" spans="2:20" ht="37.5">
      <c r="B104" s="73"/>
      <c r="C104" s="74"/>
      <c r="D104" s="75"/>
      <c r="E104" s="74"/>
      <c r="F104" s="76">
        <v>124</v>
      </c>
      <c r="G104" s="83" t="s">
        <v>44</v>
      </c>
      <c r="H104" s="81">
        <f t="shared" si="22"/>
        <v>2662</v>
      </c>
      <c r="I104" s="81">
        <f t="shared" si="25"/>
        <v>2662</v>
      </c>
      <c r="J104" s="81">
        <f t="shared" si="25"/>
        <v>0</v>
      </c>
      <c r="K104" s="81">
        <f t="shared" si="25"/>
        <v>0</v>
      </c>
      <c r="L104" s="81">
        <f t="shared" si="25"/>
        <v>0</v>
      </c>
      <c r="M104" s="81">
        <f t="shared" si="25"/>
        <v>0</v>
      </c>
      <c r="N104" s="81">
        <f t="shared" si="25"/>
        <v>0</v>
      </c>
      <c r="O104" s="81">
        <f t="shared" si="25"/>
        <v>0</v>
      </c>
      <c r="P104" s="81">
        <f t="shared" si="25"/>
        <v>0</v>
      </c>
      <c r="Q104" s="81">
        <f t="shared" si="25"/>
        <v>0</v>
      </c>
      <c r="R104" s="81">
        <f t="shared" si="25"/>
        <v>0</v>
      </c>
      <c r="S104" s="81">
        <f t="shared" si="25"/>
        <v>0</v>
      </c>
      <c r="T104" s="81">
        <f t="shared" si="25"/>
        <v>0</v>
      </c>
    </row>
    <row r="105" spans="2:20" ht="56.25">
      <c r="B105" s="65" t="s">
        <v>45</v>
      </c>
      <c r="C105" s="68"/>
      <c r="D105" s="84" t="s">
        <v>36</v>
      </c>
      <c r="E105" s="84" t="s">
        <v>38</v>
      </c>
      <c r="F105" s="85"/>
      <c r="G105" s="86" t="s">
        <v>46</v>
      </c>
      <c r="H105" s="87">
        <f>H106+H107+H108+H109</f>
        <v>57657</v>
      </c>
      <c r="I105" s="88">
        <f>I106+I107+I108+I109</f>
        <v>57657</v>
      </c>
      <c r="J105" s="88">
        <f t="shared" ref="J105:Q105" si="26">J106+J107+J108+J109</f>
        <v>0</v>
      </c>
      <c r="K105" s="88">
        <f t="shared" si="26"/>
        <v>0</v>
      </c>
      <c r="L105" s="88">
        <f t="shared" si="26"/>
        <v>0</v>
      </c>
      <c r="M105" s="88">
        <f t="shared" si="26"/>
        <v>0</v>
      </c>
      <c r="N105" s="88">
        <f t="shared" si="26"/>
        <v>0</v>
      </c>
      <c r="O105" s="88">
        <f t="shared" si="26"/>
        <v>0</v>
      </c>
      <c r="P105" s="88">
        <f t="shared" si="26"/>
        <v>0</v>
      </c>
      <c r="Q105" s="87">
        <f t="shared" si="26"/>
        <v>0</v>
      </c>
      <c r="R105" s="87">
        <f>R106+R107+R108+R109</f>
        <v>0</v>
      </c>
      <c r="S105" s="87">
        <f>S106+S107+S108+S109</f>
        <v>0</v>
      </c>
      <c r="T105" s="87">
        <f>T106+T107+T108+T109</f>
        <v>0</v>
      </c>
    </row>
    <row r="106" spans="2:20" ht="18.75">
      <c r="B106" s="73"/>
      <c r="C106" s="74"/>
      <c r="D106" s="74"/>
      <c r="E106" s="74"/>
      <c r="F106" s="76">
        <v>111</v>
      </c>
      <c r="G106" s="80" t="s">
        <v>40</v>
      </c>
      <c r="H106" s="81">
        <f>SUM(I106:T106)</f>
        <v>52162</v>
      </c>
      <c r="I106" s="74">
        <v>52162</v>
      </c>
      <c r="J106" s="74"/>
      <c r="K106" s="74"/>
      <c r="L106" s="74"/>
      <c r="M106" s="89"/>
      <c r="N106" s="89"/>
      <c r="O106" s="89"/>
      <c r="P106" s="89"/>
      <c r="Q106" s="90"/>
      <c r="R106" s="90"/>
      <c r="S106" s="90"/>
      <c r="T106" s="90"/>
    </row>
    <row r="107" spans="2:20" ht="18.75">
      <c r="B107" s="73"/>
      <c r="C107" s="74"/>
      <c r="D107" s="74"/>
      <c r="E107" s="74"/>
      <c r="F107" s="76">
        <v>121</v>
      </c>
      <c r="G107" s="80" t="s">
        <v>42</v>
      </c>
      <c r="H107" s="81">
        <f>SUM(I107:T107)</f>
        <v>2811</v>
      </c>
      <c r="I107" s="74">
        <v>2811</v>
      </c>
      <c r="J107" s="74"/>
      <c r="K107" s="74"/>
      <c r="L107" s="74"/>
      <c r="M107" s="74"/>
      <c r="N107" s="74"/>
      <c r="O107" s="74"/>
      <c r="P107" s="89"/>
      <c r="Q107" s="90"/>
      <c r="R107" s="90"/>
      <c r="S107" s="90"/>
      <c r="T107" s="90"/>
    </row>
    <row r="108" spans="2:20" ht="37.5">
      <c r="B108" s="73"/>
      <c r="C108" s="74"/>
      <c r="D108" s="74"/>
      <c r="E108" s="74"/>
      <c r="F108" s="76">
        <v>122</v>
      </c>
      <c r="G108" s="80" t="s">
        <v>43</v>
      </c>
      <c r="H108" s="81">
        <f>SUM(I108:T108)</f>
        <v>1638</v>
      </c>
      <c r="I108" s="74">
        <v>1638</v>
      </c>
      <c r="J108" s="74"/>
      <c r="K108" s="74"/>
      <c r="L108" s="74"/>
      <c r="M108" s="74"/>
      <c r="N108" s="74"/>
      <c r="O108" s="74"/>
      <c r="P108" s="89"/>
      <c r="Q108" s="90"/>
      <c r="R108" s="90"/>
      <c r="S108" s="90"/>
      <c r="T108" s="90"/>
    </row>
    <row r="109" spans="2:20" ht="37.5">
      <c r="B109" s="73"/>
      <c r="C109" s="74"/>
      <c r="D109" s="74"/>
      <c r="E109" s="74"/>
      <c r="F109" s="76">
        <v>124</v>
      </c>
      <c r="G109" s="83" t="s">
        <v>44</v>
      </c>
      <c r="H109" s="81">
        <f>SUM(I109:T109)</f>
        <v>1046</v>
      </c>
      <c r="I109" s="74">
        <v>1046</v>
      </c>
      <c r="J109" s="74"/>
      <c r="K109" s="74"/>
      <c r="L109" s="74"/>
      <c r="M109" s="74"/>
      <c r="N109" s="74"/>
      <c r="O109" s="74"/>
      <c r="P109" s="89"/>
      <c r="Q109" s="90"/>
      <c r="R109" s="90"/>
      <c r="S109" s="90"/>
      <c r="T109" s="90"/>
    </row>
    <row r="110" spans="2:20" ht="37.5">
      <c r="B110" s="91">
        <v>0.25</v>
      </c>
      <c r="C110" s="68"/>
      <c r="D110" s="84" t="s">
        <v>36</v>
      </c>
      <c r="E110" s="84" t="s">
        <v>38</v>
      </c>
      <c r="F110" s="85"/>
      <c r="G110" s="69" t="s">
        <v>47</v>
      </c>
      <c r="H110" s="87">
        <f>H111+H113+H114+H115+H112</f>
        <v>90585</v>
      </c>
      <c r="I110" s="87">
        <f t="shared" ref="I110:T110" si="27">I111+I113+I114+I115+I112</f>
        <v>90585</v>
      </c>
      <c r="J110" s="87">
        <f t="shared" si="27"/>
        <v>0</v>
      </c>
      <c r="K110" s="87">
        <f t="shared" si="27"/>
        <v>0</v>
      </c>
      <c r="L110" s="87">
        <f t="shared" si="27"/>
        <v>0</v>
      </c>
      <c r="M110" s="78">
        <f t="shared" si="27"/>
        <v>0</v>
      </c>
      <c r="N110" s="87">
        <f t="shared" si="27"/>
        <v>0</v>
      </c>
      <c r="O110" s="87">
        <f t="shared" si="27"/>
        <v>0</v>
      </c>
      <c r="P110" s="87">
        <f t="shared" si="27"/>
        <v>0</v>
      </c>
      <c r="Q110" s="87">
        <f t="shared" si="27"/>
        <v>0</v>
      </c>
      <c r="R110" s="87">
        <f t="shared" si="27"/>
        <v>0</v>
      </c>
      <c r="S110" s="87">
        <f t="shared" si="27"/>
        <v>0</v>
      </c>
      <c r="T110" s="87">
        <f t="shared" si="27"/>
        <v>0</v>
      </c>
    </row>
    <row r="111" spans="2:20" ht="18.75">
      <c r="B111" s="73"/>
      <c r="C111" s="74"/>
      <c r="D111" s="74"/>
      <c r="E111" s="74"/>
      <c r="F111" s="76">
        <v>111</v>
      </c>
      <c r="G111" s="80" t="s">
        <v>40</v>
      </c>
      <c r="H111" s="81">
        <f>I111+J111+K111+L111+M111+N111+O111+P111+Q111+R111+S111+T111</f>
        <v>79020</v>
      </c>
      <c r="I111" s="81">
        <v>79020</v>
      </c>
      <c r="J111" s="81"/>
      <c r="K111" s="81"/>
      <c r="L111" s="81"/>
      <c r="M111" s="81"/>
      <c r="N111" s="81"/>
      <c r="O111" s="92"/>
      <c r="P111" s="93"/>
      <c r="Q111" s="90"/>
      <c r="R111" s="90"/>
      <c r="S111" s="90"/>
      <c r="T111" s="90"/>
    </row>
    <row r="112" spans="2:20" ht="18.75">
      <c r="B112" s="73"/>
      <c r="C112" s="74"/>
      <c r="D112" s="74"/>
      <c r="E112" s="74"/>
      <c r="F112" s="76">
        <v>113</v>
      </c>
      <c r="G112" s="82" t="s">
        <v>41</v>
      </c>
      <c r="H112" s="81">
        <f>I112+J112+K112+L112+M112+N112+O112+P112+Q112+R112+S112+T112</f>
        <v>3260</v>
      </c>
      <c r="I112" s="81">
        <v>3260</v>
      </c>
      <c r="J112" s="81"/>
      <c r="K112" s="81"/>
      <c r="L112" s="81"/>
      <c r="M112" s="81"/>
      <c r="N112" s="81"/>
      <c r="O112" s="92"/>
      <c r="P112" s="93"/>
      <c r="Q112" s="90"/>
      <c r="R112" s="93"/>
      <c r="S112" s="90"/>
      <c r="T112" s="90"/>
    </row>
    <row r="113" spans="2:20" ht="18.75">
      <c r="B113" s="73"/>
      <c r="C113" s="74"/>
      <c r="D113" s="74"/>
      <c r="E113" s="74"/>
      <c r="F113" s="76">
        <v>121</v>
      </c>
      <c r="G113" s="80" t="s">
        <v>42</v>
      </c>
      <c r="H113" s="81">
        <f>I113+J113+K113+L113+M113+N113+O113+P113+Q113+R113+S113+T113</f>
        <v>4252</v>
      </c>
      <c r="I113" s="81">
        <v>4252</v>
      </c>
      <c r="J113" s="81"/>
      <c r="K113" s="81"/>
      <c r="L113" s="81"/>
      <c r="M113" s="81"/>
      <c r="N113" s="81"/>
      <c r="O113" s="92"/>
      <c r="P113" s="93"/>
      <c r="Q113" s="90"/>
      <c r="R113" s="90"/>
      <c r="S113" s="90"/>
      <c r="T113" s="90"/>
    </row>
    <row r="114" spans="2:20" ht="37.5">
      <c r="B114" s="73"/>
      <c r="C114" s="74"/>
      <c r="D114" s="74"/>
      <c r="E114" s="74"/>
      <c r="F114" s="76">
        <v>122</v>
      </c>
      <c r="G114" s="80" t="s">
        <v>43</v>
      </c>
      <c r="H114" s="74">
        <f>I114+J114+K114+L114+M114+N114+O114+P114+Q114+R114+S114+T114</f>
        <v>2479</v>
      </c>
      <c r="I114" s="74">
        <v>2479</v>
      </c>
      <c r="J114" s="74"/>
      <c r="K114" s="74"/>
      <c r="L114" s="74"/>
      <c r="M114" s="74"/>
      <c r="N114" s="74"/>
      <c r="O114" s="68"/>
      <c r="P114" s="68"/>
      <c r="Q114" s="81"/>
      <c r="R114" s="74"/>
      <c r="S114" s="74"/>
      <c r="T114" s="74"/>
    </row>
    <row r="115" spans="2:20" ht="37.5">
      <c r="B115" s="73"/>
      <c r="C115" s="74"/>
      <c r="D115" s="74"/>
      <c r="E115" s="74"/>
      <c r="F115" s="76">
        <v>124</v>
      </c>
      <c r="G115" s="83" t="s">
        <v>44</v>
      </c>
      <c r="H115" s="74">
        <f>I115+J115+K115+L115+M115+N115+O115+P115+Q115+R115+S115+T115</f>
        <v>1574</v>
      </c>
      <c r="I115" s="74">
        <v>1574</v>
      </c>
      <c r="J115" s="74"/>
      <c r="K115" s="74"/>
      <c r="L115" s="74"/>
      <c r="M115" s="74"/>
      <c r="N115" s="74"/>
      <c r="O115" s="68"/>
      <c r="P115" s="68"/>
      <c r="Q115" s="81"/>
      <c r="R115" s="81"/>
      <c r="S115" s="81"/>
      <c r="T115" s="81"/>
    </row>
    <row r="116" spans="2:20" ht="56.25">
      <c r="B116" s="66" t="s">
        <v>48</v>
      </c>
      <c r="C116" s="74"/>
      <c r="D116" s="84" t="s">
        <v>36</v>
      </c>
      <c r="E116" s="84" t="s">
        <v>38</v>
      </c>
      <c r="F116" s="76"/>
      <c r="G116" s="79" t="s">
        <v>39</v>
      </c>
      <c r="H116" s="87">
        <f>H117+H118+H119+H120</f>
        <v>2354</v>
      </c>
      <c r="I116" s="88">
        <f t="shared" ref="I116:T116" si="28">I117+I118+I119+I120</f>
        <v>2354</v>
      </c>
      <c r="J116" s="88">
        <f t="shared" si="28"/>
        <v>0</v>
      </c>
      <c r="K116" s="88">
        <f t="shared" si="28"/>
        <v>0</v>
      </c>
      <c r="L116" s="88">
        <f t="shared" si="28"/>
        <v>0</v>
      </c>
      <c r="M116" s="88">
        <f t="shared" si="28"/>
        <v>0</v>
      </c>
      <c r="N116" s="88">
        <f t="shared" si="28"/>
        <v>0</v>
      </c>
      <c r="O116" s="88">
        <f t="shared" si="28"/>
        <v>0</v>
      </c>
      <c r="P116" s="88">
        <f t="shared" si="28"/>
        <v>0</v>
      </c>
      <c r="Q116" s="87">
        <f t="shared" si="28"/>
        <v>0</v>
      </c>
      <c r="R116" s="87">
        <f t="shared" si="28"/>
        <v>0</v>
      </c>
      <c r="S116" s="87">
        <f t="shared" si="28"/>
        <v>0</v>
      </c>
      <c r="T116" s="87">
        <f t="shared" si="28"/>
        <v>0</v>
      </c>
    </row>
    <row r="117" spans="2:20" ht="18.75">
      <c r="B117" s="73"/>
      <c r="C117" s="74"/>
      <c r="D117" s="74"/>
      <c r="E117" s="74"/>
      <c r="F117" s="76">
        <v>111</v>
      </c>
      <c r="G117" s="80" t="s">
        <v>40</v>
      </c>
      <c r="H117" s="81">
        <f>I117+J117+K117+L117+M117+N117+O117+P117+Q117+R117+S117+T117</f>
        <v>2129</v>
      </c>
      <c r="I117" s="74">
        <v>2129</v>
      </c>
      <c r="J117" s="74"/>
      <c r="K117" s="74"/>
      <c r="L117" s="74"/>
      <c r="M117" s="74"/>
      <c r="N117" s="74"/>
      <c r="O117" s="74"/>
      <c r="P117" s="74"/>
      <c r="Q117" s="81"/>
      <c r="R117" s="81"/>
      <c r="S117" s="81"/>
      <c r="T117" s="81"/>
    </row>
    <row r="118" spans="2:20" ht="18.75">
      <c r="B118" s="73"/>
      <c r="C118" s="74"/>
      <c r="D118" s="74"/>
      <c r="E118" s="74"/>
      <c r="F118" s="76">
        <v>121</v>
      </c>
      <c r="G118" s="80" t="s">
        <v>42</v>
      </c>
      <c r="H118" s="81">
        <f>I118+J118+K118+L118+M118+N118+O118+P118+Q118+R118+S118+T118</f>
        <v>117</v>
      </c>
      <c r="I118" s="74">
        <v>117</v>
      </c>
      <c r="J118" s="74"/>
      <c r="K118" s="74"/>
      <c r="L118" s="74"/>
      <c r="M118" s="74"/>
      <c r="N118" s="74"/>
      <c r="O118" s="74"/>
      <c r="P118" s="74"/>
      <c r="Q118" s="81"/>
      <c r="R118" s="81"/>
      <c r="S118" s="81"/>
      <c r="T118" s="81"/>
    </row>
    <row r="119" spans="2:20" ht="37.5">
      <c r="B119" s="73"/>
      <c r="C119" s="74"/>
      <c r="D119" s="74"/>
      <c r="E119" s="74"/>
      <c r="F119" s="76">
        <v>122</v>
      </c>
      <c r="G119" s="80" t="s">
        <v>43</v>
      </c>
      <c r="H119" s="81">
        <f>I119+J119+K119+L119+M119+N119+O119+P119+Q119+R119+S119+T119</f>
        <v>66</v>
      </c>
      <c r="I119" s="74">
        <v>66</v>
      </c>
      <c r="J119" s="74"/>
      <c r="K119" s="74"/>
      <c r="L119" s="74"/>
      <c r="M119" s="74"/>
      <c r="N119" s="74"/>
      <c r="O119" s="74"/>
      <c r="P119" s="74"/>
      <c r="Q119" s="81"/>
      <c r="R119" s="81"/>
      <c r="S119" s="81"/>
      <c r="T119" s="81"/>
    </row>
    <row r="120" spans="2:20" ht="37.5">
      <c r="B120" s="73"/>
      <c r="C120" s="74"/>
      <c r="D120" s="74"/>
      <c r="E120" s="74"/>
      <c r="F120" s="76">
        <v>124</v>
      </c>
      <c r="G120" s="83" t="s">
        <v>44</v>
      </c>
      <c r="H120" s="81">
        <f>I120+J120+K120+L120+M120+N120+O120+P120+Q120+R120+S120+T120</f>
        <v>42</v>
      </c>
      <c r="I120" s="74">
        <v>42</v>
      </c>
      <c r="J120" s="74"/>
      <c r="K120" s="74"/>
      <c r="L120" s="74"/>
      <c r="M120" s="74"/>
      <c r="N120" s="74"/>
      <c r="O120" s="74"/>
      <c r="P120" s="74"/>
      <c r="Q120" s="74"/>
      <c r="R120" s="74"/>
      <c r="S120" s="74"/>
      <c r="T120" s="74"/>
    </row>
    <row r="121" spans="2:20" ht="18.75">
      <c r="B121" s="73"/>
      <c r="C121" s="74"/>
      <c r="D121" s="75" t="s">
        <v>36</v>
      </c>
      <c r="E121" s="75" t="s">
        <v>49</v>
      </c>
      <c r="F121" s="76"/>
      <c r="G121" s="116" t="s">
        <v>50</v>
      </c>
      <c r="H121" s="78">
        <f t="shared" ref="H121:T121" si="29">H122+H123+H124+H125+H126+H127+H128+H129+H130+H131+H132+H133+H134</f>
        <v>253975</v>
      </c>
      <c r="I121" s="78">
        <f t="shared" si="29"/>
        <v>253975</v>
      </c>
      <c r="J121" s="78">
        <f t="shared" si="29"/>
        <v>0</v>
      </c>
      <c r="K121" s="78">
        <f t="shared" si="29"/>
        <v>0</v>
      </c>
      <c r="L121" s="78">
        <f t="shared" si="29"/>
        <v>0</v>
      </c>
      <c r="M121" s="78">
        <f t="shared" si="29"/>
        <v>0</v>
      </c>
      <c r="N121" s="78">
        <f t="shared" si="29"/>
        <v>0</v>
      </c>
      <c r="O121" s="78">
        <f t="shared" si="29"/>
        <v>0</v>
      </c>
      <c r="P121" s="78">
        <f t="shared" si="29"/>
        <v>0</v>
      </c>
      <c r="Q121" s="78">
        <f t="shared" si="29"/>
        <v>0</v>
      </c>
      <c r="R121" s="78">
        <f t="shared" si="29"/>
        <v>0</v>
      </c>
      <c r="S121" s="78">
        <f t="shared" si="29"/>
        <v>0</v>
      </c>
      <c r="T121" s="78">
        <f t="shared" si="29"/>
        <v>0</v>
      </c>
    </row>
    <row r="122" spans="2:20" ht="18.75">
      <c r="B122" s="73"/>
      <c r="C122" s="74"/>
      <c r="D122" s="94"/>
      <c r="E122" s="74"/>
      <c r="F122" s="74">
        <v>111</v>
      </c>
      <c r="G122" s="80" t="s">
        <v>40</v>
      </c>
      <c r="H122" s="81">
        <f t="shared" ref="H122:H125" si="30">I122+J122+K122+L122+M122+N122+O122+P122+Q122+R122+S122+T122</f>
        <v>158313</v>
      </c>
      <c r="I122" s="74">
        <v>158313</v>
      </c>
      <c r="J122" s="74"/>
      <c r="K122" s="74"/>
      <c r="L122" s="74"/>
      <c r="M122" s="74"/>
      <c r="N122" s="74"/>
      <c r="O122" s="74"/>
      <c r="P122" s="74"/>
      <c r="Q122" s="81"/>
      <c r="R122" s="74"/>
      <c r="S122" s="74"/>
      <c r="T122" s="74"/>
    </row>
    <row r="123" spans="2:20" ht="18.75">
      <c r="B123" s="88"/>
      <c r="C123" s="68"/>
      <c r="D123" s="95"/>
      <c r="E123" s="68"/>
      <c r="F123" s="68">
        <v>113</v>
      </c>
      <c r="G123" s="82" t="s">
        <v>41</v>
      </c>
      <c r="H123" s="68">
        <f t="shared" si="30"/>
        <v>15958</v>
      </c>
      <c r="I123" s="68">
        <v>15958</v>
      </c>
      <c r="J123" s="68"/>
      <c r="K123" s="74"/>
      <c r="L123" s="74"/>
      <c r="M123" s="74"/>
      <c r="N123" s="74"/>
      <c r="O123" s="74"/>
      <c r="P123" s="74"/>
      <c r="Q123" s="74"/>
      <c r="R123" s="68"/>
      <c r="S123" s="74"/>
      <c r="T123" s="68"/>
    </row>
    <row r="124" spans="2:20" ht="18.75">
      <c r="B124" s="96"/>
      <c r="C124" s="68"/>
      <c r="D124" s="95"/>
      <c r="E124" s="68"/>
      <c r="F124" s="68">
        <v>121</v>
      </c>
      <c r="G124" s="82" t="s">
        <v>42</v>
      </c>
      <c r="H124" s="92">
        <f t="shared" si="30"/>
        <v>8548</v>
      </c>
      <c r="I124" s="92">
        <v>8548</v>
      </c>
      <c r="J124" s="92"/>
      <c r="K124" s="92"/>
      <c r="L124" s="81"/>
      <c r="M124" s="81"/>
      <c r="N124" s="81"/>
      <c r="O124" s="81"/>
      <c r="P124" s="81"/>
      <c r="Q124" s="81"/>
      <c r="R124" s="81"/>
      <c r="S124" s="81"/>
      <c r="T124" s="81"/>
    </row>
    <row r="125" spans="2:20" ht="37.5">
      <c r="B125" s="96"/>
      <c r="C125" s="68"/>
      <c r="D125" s="95"/>
      <c r="E125" s="68"/>
      <c r="F125" s="68">
        <v>122</v>
      </c>
      <c r="G125" s="82" t="s">
        <v>51</v>
      </c>
      <c r="H125" s="92">
        <f t="shared" si="30"/>
        <v>4987</v>
      </c>
      <c r="I125" s="92">
        <v>4987</v>
      </c>
      <c r="J125" s="92"/>
      <c r="K125" s="92"/>
      <c r="L125" s="81"/>
      <c r="M125" s="81"/>
      <c r="N125" s="81"/>
      <c r="O125" s="81"/>
      <c r="P125" s="81"/>
      <c r="Q125" s="81"/>
      <c r="R125" s="81"/>
      <c r="S125" s="81"/>
      <c r="T125" s="81"/>
    </row>
    <row r="126" spans="2:20" ht="37.5">
      <c r="B126" s="88"/>
      <c r="C126" s="68"/>
      <c r="D126" s="95"/>
      <c r="E126" s="68"/>
      <c r="F126" s="68">
        <v>124</v>
      </c>
      <c r="G126" s="97" t="s">
        <v>44</v>
      </c>
      <c r="H126" s="92">
        <f>I126+J126+K126+L126+M126+N126+O126+P126+Q126+R126+S126+T126</f>
        <v>3166</v>
      </c>
      <c r="I126" s="92">
        <v>3166</v>
      </c>
      <c r="J126" s="92"/>
      <c r="K126" s="92"/>
      <c r="L126" s="81"/>
      <c r="M126" s="81"/>
      <c r="N126" s="81"/>
      <c r="O126" s="81"/>
      <c r="P126" s="81"/>
      <c r="Q126" s="81"/>
      <c r="R126" s="81"/>
      <c r="S126" s="81"/>
      <c r="T126" s="81"/>
    </row>
    <row r="127" spans="2:20" ht="18.75">
      <c r="B127" s="88"/>
      <c r="C127" s="68"/>
      <c r="D127" s="95"/>
      <c r="E127" s="68"/>
      <c r="F127" s="85">
        <v>149</v>
      </c>
      <c r="G127" s="97" t="s">
        <v>52</v>
      </c>
      <c r="H127" s="92">
        <f t="shared" ref="H127:H134" si="31">I127+J127+K127+L127+M127+N127+O127+P127+Q127+R127+S127+T127</f>
        <v>5892</v>
      </c>
      <c r="I127" s="92">
        <v>5892</v>
      </c>
      <c r="J127" s="92"/>
      <c r="K127" s="92"/>
      <c r="L127" s="81"/>
      <c r="M127" s="81"/>
      <c r="N127" s="81"/>
      <c r="O127" s="81"/>
      <c r="P127" s="81"/>
      <c r="Q127" s="81"/>
      <c r="R127" s="81"/>
      <c r="S127" s="81"/>
      <c r="T127" s="81"/>
    </row>
    <row r="128" spans="2:20" ht="18.75">
      <c r="B128" s="88"/>
      <c r="C128" s="68"/>
      <c r="D128" s="95"/>
      <c r="E128" s="68"/>
      <c r="F128" s="85">
        <v>151</v>
      </c>
      <c r="G128" s="97" t="s">
        <v>53</v>
      </c>
      <c r="H128" s="92">
        <f t="shared" si="31"/>
        <v>12514</v>
      </c>
      <c r="I128" s="92">
        <v>12514</v>
      </c>
      <c r="J128" s="92"/>
      <c r="K128" s="92"/>
      <c r="L128" s="81"/>
      <c r="M128" s="81"/>
      <c r="N128" s="81"/>
      <c r="O128" s="81"/>
      <c r="P128" s="81"/>
      <c r="Q128" s="81"/>
      <c r="R128" s="81"/>
      <c r="S128" s="81"/>
      <c r="T128" s="81"/>
    </row>
    <row r="129" spans="2:22" ht="18.75">
      <c r="B129" s="88"/>
      <c r="C129" s="68"/>
      <c r="D129" s="95"/>
      <c r="E129" s="68"/>
      <c r="F129" s="85">
        <v>152</v>
      </c>
      <c r="G129" s="97" t="s">
        <v>54</v>
      </c>
      <c r="H129" s="92">
        <f t="shared" si="31"/>
        <v>2018</v>
      </c>
      <c r="I129" s="92">
        <v>2018</v>
      </c>
      <c r="J129" s="92"/>
      <c r="K129" s="92"/>
      <c r="L129" s="81"/>
      <c r="M129" s="81"/>
      <c r="N129" s="81"/>
      <c r="O129" s="81"/>
      <c r="P129" s="81"/>
      <c r="Q129" s="81"/>
      <c r="R129" s="81"/>
      <c r="S129" s="81"/>
      <c r="T129" s="81"/>
    </row>
    <row r="130" spans="2:22" ht="18.75">
      <c r="B130" s="88"/>
      <c r="C130" s="68"/>
      <c r="D130" s="95"/>
      <c r="E130" s="68"/>
      <c r="F130" s="85">
        <v>153</v>
      </c>
      <c r="G130" s="97" t="s">
        <v>55</v>
      </c>
      <c r="H130" s="92">
        <f t="shared" si="31"/>
        <v>0</v>
      </c>
      <c r="I130" s="92">
        <v>0</v>
      </c>
      <c r="J130" s="92"/>
      <c r="K130" s="92"/>
      <c r="L130" s="81"/>
      <c r="M130" s="81"/>
      <c r="N130" s="81"/>
      <c r="O130" s="81"/>
      <c r="P130" s="81"/>
      <c r="Q130" s="81"/>
      <c r="R130" s="81"/>
      <c r="S130" s="81"/>
      <c r="T130" s="81"/>
    </row>
    <row r="131" spans="2:22" ht="18.75">
      <c r="B131" s="88"/>
      <c r="C131" s="68"/>
      <c r="D131" s="95"/>
      <c r="E131" s="68"/>
      <c r="F131" s="85">
        <v>159</v>
      </c>
      <c r="G131" s="97" t="s">
        <v>56</v>
      </c>
      <c r="H131" s="92">
        <f t="shared" si="31"/>
        <v>25858</v>
      </c>
      <c r="I131" s="92">
        <v>25858</v>
      </c>
      <c r="J131" s="92"/>
      <c r="K131" s="92"/>
      <c r="L131" s="81"/>
      <c r="M131" s="81"/>
      <c r="N131" s="81"/>
      <c r="O131" s="81"/>
      <c r="P131" s="81"/>
      <c r="Q131" s="81"/>
      <c r="R131" s="81"/>
      <c r="S131" s="81"/>
      <c r="T131" s="81"/>
    </row>
    <row r="132" spans="2:22" ht="18.75">
      <c r="B132" s="88"/>
      <c r="C132" s="68"/>
      <c r="D132" s="95"/>
      <c r="E132" s="68"/>
      <c r="F132" s="85">
        <v>161</v>
      </c>
      <c r="G132" s="97" t="s">
        <v>57</v>
      </c>
      <c r="H132" s="92">
        <f t="shared" si="31"/>
        <v>1210</v>
      </c>
      <c r="I132" s="92">
        <v>1210</v>
      </c>
      <c r="J132" s="92"/>
      <c r="K132" s="92"/>
      <c r="L132" s="81"/>
      <c r="M132" s="81"/>
      <c r="N132" s="81"/>
      <c r="O132" s="81"/>
      <c r="P132" s="81"/>
      <c r="Q132" s="81"/>
      <c r="R132" s="81"/>
      <c r="S132" s="81"/>
      <c r="T132" s="81"/>
    </row>
    <row r="133" spans="2:22" ht="37.5">
      <c r="B133" s="88"/>
      <c r="C133" s="68"/>
      <c r="D133" s="95"/>
      <c r="E133" s="68"/>
      <c r="F133" s="85">
        <v>163</v>
      </c>
      <c r="G133" s="97" t="s">
        <v>58</v>
      </c>
      <c r="H133" s="92">
        <f t="shared" si="31"/>
        <v>15340</v>
      </c>
      <c r="I133" s="92">
        <v>15340</v>
      </c>
      <c r="J133" s="92"/>
      <c r="K133" s="92"/>
      <c r="L133" s="81"/>
      <c r="M133" s="81"/>
      <c r="N133" s="81"/>
      <c r="O133" s="81"/>
      <c r="P133" s="81"/>
      <c r="Q133" s="81"/>
      <c r="R133" s="81"/>
      <c r="S133" s="81"/>
      <c r="T133" s="81"/>
    </row>
    <row r="134" spans="2:22" ht="18.75">
      <c r="B134" s="88"/>
      <c r="C134" s="68"/>
      <c r="D134" s="95"/>
      <c r="E134" s="68"/>
      <c r="F134" s="85">
        <v>169</v>
      </c>
      <c r="G134" s="97" t="s">
        <v>59</v>
      </c>
      <c r="H134" s="92">
        <f t="shared" si="31"/>
        <v>171</v>
      </c>
      <c r="I134" s="92">
        <v>171</v>
      </c>
      <c r="J134" s="92"/>
      <c r="K134" s="92"/>
      <c r="L134" s="81"/>
      <c r="M134" s="81"/>
      <c r="N134" s="81"/>
      <c r="O134" s="81"/>
      <c r="P134" s="81"/>
      <c r="Q134" s="81"/>
      <c r="R134" s="81"/>
      <c r="S134" s="81"/>
      <c r="T134" s="81"/>
    </row>
    <row r="135" spans="2:22" ht="56.25">
      <c r="B135" s="73"/>
      <c r="C135" s="74"/>
      <c r="D135" s="84" t="s">
        <v>60</v>
      </c>
      <c r="E135" s="84" t="s">
        <v>38</v>
      </c>
      <c r="F135" s="76"/>
      <c r="G135" s="98" t="s">
        <v>61</v>
      </c>
      <c r="H135" s="87">
        <f>H136</f>
        <v>5260</v>
      </c>
      <c r="I135" s="87">
        <f t="shared" ref="I135:T135" si="32">I136</f>
        <v>5260</v>
      </c>
      <c r="J135" s="87">
        <f t="shared" si="32"/>
        <v>0</v>
      </c>
      <c r="K135" s="87">
        <f t="shared" si="32"/>
        <v>0</v>
      </c>
      <c r="L135" s="87">
        <f t="shared" si="32"/>
        <v>0</v>
      </c>
      <c r="M135" s="87">
        <f t="shared" si="32"/>
        <v>0</v>
      </c>
      <c r="N135" s="87">
        <f t="shared" si="32"/>
        <v>0</v>
      </c>
      <c r="O135" s="87">
        <f t="shared" si="32"/>
        <v>0</v>
      </c>
      <c r="P135" s="87">
        <f t="shared" si="32"/>
        <v>0</v>
      </c>
      <c r="Q135" s="87">
        <f t="shared" si="32"/>
        <v>0</v>
      </c>
      <c r="R135" s="87">
        <f t="shared" si="32"/>
        <v>0</v>
      </c>
      <c r="S135" s="87">
        <f t="shared" si="32"/>
        <v>0</v>
      </c>
      <c r="T135" s="87">
        <f t="shared" si="32"/>
        <v>0</v>
      </c>
    </row>
    <row r="136" spans="2:22" ht="37.5">
      <c r="B136" s="73"/>
      <c r="C136" s="74"/>
      <c r="D136" s="74"/>
      <c r="E136" s="74"/>
      <c r="F136" s="74">
        <v>414</v>
      </c>
      <c r="G136" s="80" t="s">
        <v>62</v>
      </c>
      <c r="H136" s="74">
        <f t="shared" ref="H136" si="33">I136+J136+K136+L136+M136+N136+O136+P136+Q136+R136+S136+T136</f>
        <v>5260</v>
      </c>
      <c r="I136" s="74">
        <v>5260</v>
      </c>
      <c r="J136" s="74"/>
      <c r="K136" s="74"/>
      <c r="L136" s="74"/>
      <c r="M136" s="74"/>
      <c r="N136" s="74"/>
      <c r="O136" s="74"/>
      <c r="P136" s="74"/>
      <c r="Q136" s="74"/>
      <c r="R136" s="74"/>
      <c r="S136" s="81"/>
      <c r="T136" s="74"/>
    </row>
    <row r="137" spans="2:22" ht="56.25">
      <c r="B137" s="73"/>
      <c r="C137" s="74"/>
      <c r="D137" s="84" t="s">
        <v>63</v>
      </c>
      <c r="E137" s="84" t="s">
        <v>49</v>
      </c>
      <c r="F137" s="74"/>
      <c r="G137" s="79" t="s">
        <v>64</v>
      </c>
      <c r="H137" s="73">
        <f>H138</f>
        <v>14334</v>
      </c>
      <c r="I137" s="73">
        <f t="shared" ref="I137:T137" si="34">I138</f>
        <v>14334</v>
      </c>
      <c r="J137" s="73">
        <f t="shared" si="34"/>
        <v>0</v>
      </c>
      <c r="K137" s="73">
        <f t="shared" si="34"/>
        <v>0</v>
      </c>
      <c r="L137" s="73">
        <f t="shared" si="34"/>
        <v>0</v>
      </c>
      <c r="M137" s="73">
        <f t="shared" si="34"/>
        <v>0</v>
      </c>
      <c r="N137" s="73">
        <f t="shared" si="34"/>
        <v>0</v>
      </c>
      <c r="O137" s="73">
        <f t="shared" si="34"/>
        <v>0</v>
      </c>
      <c r="P137" s="73">
        <f t="shared" si="34"/>
        <v>0</v>
      </c>
      <c r="Q137" s="73">
        <f t="shared" si="34"/>
        <v>0</v>
      </c>
      <c r="R137" s="73">
        <f t="shared" si="34"/>
        <v>0</v>
      </c>
      <c r="S137" s="73">
        <f t="shared" si="34"/>
        <v>0</v>
      </c>
      <c r="T137" s="73">
        <f t="shared" si="34"/>
        <v>0</v>
      </c>
    </row>
    <row r="138" spans="2:22" ht="37.5">
      <c r="B138" s="88"/>
      <c r="C138" s="68"/>
      <c r="D138" s="95"/>
      <c r="E138" s="68"/>
      <c r="F138" s="68">
        <v>414</v>
      </c>
      <c r="G138" s="80" t="s">
        <v>62</v>
      </c>
      <c r="H138" s="74">
        <f t="shared" ref="H138" si="35">I138+J138+K138+L138+M138+N138+O138+P138+Q138+R138+S138+T138</f>
        <v>14334</v>
      </c>
      <c r="I138" s="92">
        <v>14334</v>
      </c>
      <c r="J138" s="92"/>
      <c r="K138" s="92"/>
      <c r="L138" s="81"/>
      <c r="M138" s="81"/>
      <c r="N138" s="81"/>
      <c r="O138" s="81"/>
      <c r="P138" s="81"/>
      <c r="Q138" s="81"/>
      <c r="R138" s="81"/>
      <c r="S138" s="81"/>
      <c r="T138" s="81"/>
    </row>
    <row r="139" spans="2:22" ht="18.75">
      <c r="B139" s="88"/>
      <c r="C139" s="68"/>
      <c r="D139" s="68"/>
      <c r="E139" s="68"/>
      <c r="F139" s="68"/>
      <c r="G139" s="69" t="s">
        <v>65</v>
      </c>
      <c r="H139" s="99">
        <f>H137+H135+H121+H99</f>
        <v>424165</v>
      </c>
      <c r="I139" s="99">
        <f t="shared" ref="I139:V139" si="36">I137+I135+I121+I99</f>
        <v>424165</v>
      </c>
      <c r="J139" s="99">
        <f t="shared" si="36"/>
        <v>0</v>
      </c>
      <c r="K139" s="99">
        <f t="shared" si="36"/>
        <v>0</v>
      </c>
      <c r="L139" s="99">
        <f t="shared" si="36"/>
        <v>0</v>
      </c>
      <c r="M139" s="99">
        <f t="shared" si="36"/>
        <v>0</v>
      </c>
      <c r="N139" s="99">
        <f t="shared" si="36"/>
        <v>0</v>
      </c>
      <c r="O139" s="99">
        <f t="shared" si="36"/>
        <v>0</v>
      </c>
      <c r="P139" s="99">
        <f t="shared" si="36"/>
        <v>0</v>
      </c>
      <c r="Q139" s="99">
        <f t="shared" si="36"/>
        <v>0</v>
      </c>
      <c r="R139" s="99">
        <f t="shared" si="36"/>
        <v>0</v>
      </c>
      <c r="S139" s="99">
        <f t="shared" si="36"/>
        <v>0</v>
      </c>
      <c r="T139" s="99">
        <f t="shared" si="36"/>
        <v>0</v>
      </c>
      <c r="U139" s="99">
        <f t="shared" si="36"/>
        <v>0</v>
      </c>
      <c r="V139" s="99">
        <f t="shared" si="36"/>
        <v>0</v>
      </c>
    </row>
    <row r="140" spans="2:22" ht="18.75">
      <c r="B140" s="100"/>
      <c r="C140" s="27"/>
      <c r="D140" s="27"/>
      <c r="E140" s="27"/>
      <c r="F140" s="27"/>
      <c r="G140" s="27"/>
      <c r="H140" s="117"/>
      <c r="I140" s="117"/>
      <c r="J140" s="117"/>
      <c r="K140" s="117"/>
      <c r="L140" s="118"/>
      <c r="M140" s="118"/>
      <c r="N140" s="117"/>
      <c r="O140" s="117"/>
      <c r="P140" s="117"/>
      <c r="Q140" s="118"/>
      <c r="R140" s="117"/>
      <c r="S140" s="118"/>
      <c r="T140" s="117"/>
    </row>
    <row r="141" spans="2:22" ht="21.75">
      <c r="B141" s="100"/>
      <c r="C141" s="101" t="s">
        <v>66</v>
      </c>
      <c r="D141" s="109"/>
      <c r="E141" s="110"/>
      <c r="F141" s="111"/>
      <c r="G141" s="105"/>
      <c r="H141" s="105"/>
      <c r="I141" s="105"/>
      <c r="J141" s="105"/>
      <c r="K141" s="106"/>
      <c r="L141" s="106"/>
      <c r="M141" s="105"/>
      <c r="N141" s="112"/>
      <c r="O141" s="113"/>
      <c r="P141" s="113"/>
      <c r="Q141" s="114"/>
      <c r="R141" s="115"/>
      <c r="S141" s="114"/>
      <c r="T141" s="114"/>
    </row>
    <row r="142" spans="2:22" ht="22.5">
      <c r="B142" s="100"/>
      <c r="C142" s="101" t="s">
        <v>67</v>
      </c>
      <c r="D142" s="102"/>
      <c r="E142" s="103"/>
      <c r="F142" s="104"/>
      <c r="G142" s="105"/>
      <c r="H142" s="105"/>
      <c r="I142" s="105"/>
      <c r="J142" s="105"/>
      <c r="K142" s="106"/>
      <c r="L142" s="106"/>
      <c r="M142" s="105" t="s">
        <v>68</v>
      </c>
      <c r="N142" s="105" t="s">
        <v>69</v>
      </c>
      <c r="O142" s="108"/>
      <c r="P142" s="108"/>
      <c r="Q142" s="26"/>
      <c r="R142" s="27"/>
      <c r="S142" s="26"/>
      <c r="T142" s="27"/>
    </row>
  </sheetData>
  <mergeCells count="31">
    <mergeCell ref="H94:H95"/>
    <mergeCell ref="I94:T94"/>
    <mergeCell ref="H97:T97"/>
    <mergeCell ref="B88:G88"/>
    <mergeCell ref="B90:G90"/>
    <mergeCell ref="B94:B95"/>
    <mergeCell ref="C94:C95"/>
    <mergeCell ref="D94:D95"/>
    <mergeCell ref="E94:E95"/>
    <mergeCell ref="F94:F95"/>
    <mergeCell ref="G94:G95"/>
    <mergeCell ref="H24:H25"/>
    <mergeCell ref="I24:T24"/>
    <mergeCell ref="H27:T27"/>
    <mergeCell ref="P78:S81"/>
    <mergeCell ref="P83:T83"/>
    <mergeCell ref="B86:T86"/>
    <mergeCell ref="B18:G18"/>
    <mergeCell ref="B20:G20"/>
    <mergeCell ref="B24:B25"/>
    <mergeCell ref="C24:C25"/>
    <mergeCell ref="D24:D25"/>
    <mergeCell ref="E24:E25"/>
    <mergeCell ref="F24:F25"/>
    <mergeCell ref="G24:G25"/>
    <mergeCell ref="P3:S6"/>
    <mergeCell ref="B4:G4"/>
    <mergeCell ref="B5:F5"/>
    <mergeCell ref="P8:S11"/>
    <mergeCell ref="P13:T13"/>
    <mergeCell ref="B16:T16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BG30"/>
  <sheetViews>
    <sheetView workbookViewId="0">
      <selection activeCell="D5" sqref="D5"/>
    </sheetView>
  </sheetViews>
  <sheetFormatPr defaultColWidth="50.7109375" defaultRowHeight="60" customHeight="1"/>
  <cols>
    <col min="1" max="1" width="10.28515625" style="126" customWidth="1"/>
    <col min="2" max="2" width="32.28515625" style="126" customWidth="1"/>
    <col min="3" max="3" width="23.5703125" style="126" customWidth="1"/>
    <col min="4" max="4" width="28.7109375" style="181" customWidth="1"/>
    <col min="5" max="5" width="19" style="126" customWidth="1"/>
    <col min="6" max="6" width="17.42578125" style="126" customWidth="1"/>
    <col min="7" max="7" width="10.140625" style="126" customWidth="1"/>
    <col min="8" max="8" width="13.140625" style="126" customWidth="1"/>
    <col min="9" max="9" width="18.42578125" style="126" customWidth="1"/>
    <col min="10" max="10" width="13" style="126" customWidth="1"/>
    <col min="11" max="11" width="11.28515625" style="126" customWidth="1"/>
    <col min="12" max="12" width="11.5703125" style="126" customWidth="1"/>
    <col min="13" max="13" width="15.5703125" style="126" customWidth="1"/>
    <col min="14" max="14" width="17" style="126" customWidth="1"/>
    <col min="15" max="15" width="17.42578125" style="126" customWidth="1"/>
    <col min="16" max="16" width="13.28515625" style="126" customWidth="1"/>
    <col min="17" max="17" width="13.7109375" style="126" customWidth="1"/>
    <col min="18" max="18" width="13.5703125" style="126" customWidth="1"/>
    <col min="19" max="19" width="18.140625" style="126" customWidth="1"/>
    <col min="20" max="20" width="14" style="126" customWidth="1"/>
    <col min="21" max="21" width="12.42578125" style="126" customWidth="1"/>
    <col min="22" max="23" width="14" style="126" customWidth="1"/>
    <col min="24" max="24" width="18.5703125" style="126" customWidth="1"/>
    <col min="25" max="16384" width="50.7109375" style="124"/>
  </cols>
  <sheetData>
    <row r="1" spans="1:39" ht="27.75">
      <c r="A1" s="119" t="s">
        <v>72</v>
      </c>
      <c r="B1" s="119"/>
      <c r="C1" s="119"/>
      <c r="D1" s="120"/>
      <c r="E1" s="121"/>
      <c r="F1" s="121"/>
      <c r="G1" s="121"/>
      <c r="H1" s="121"/>
      <c r="I1" s="121"/>
      <c r="J1" s="121"/>
      <c r="K1" s="121"/>
      <c r="L1" s="121"/>
      <c r="M1" s="122" t="s">
        <v>73</v>
      </c>
      <c r="N1" s="122"/>
      <c r="O1" s="123"/>
      <c r="P1" s="123"/>
      <c r="Q1" s="123"/>
      <c r="R1" s="123"/>
      <c r="S1" s="123"/>
      <c r="T1" s="123"/>
      <c r="U1" s="123"/>
      <c r="V1" s="123"/>
      <c r="W1" s="123"/>
      <c r="X1" s="123"/>
      <c r="Y1" s="123"/>
    </row>
    <row r="2" spans="1:39" ht="27.75">
      <c r="A2" s="119" t="s">
        <v>74</v>
      </c>
      <c r="B2" s="119"/>
      <c r="C2" s="119"/>
      <c r="D2" s="120"/>
      <c r="E2" s="121"/>
      <c r="F2" s="121"/>
      <c r="G2" s="121"/>
      <c r="H2" s="121"/>
      <c r="I2" s="121"/>
      <c r="J2" s="121"/>
      <c r="K2" s="121"/>
      <c r="L2" s="121"/>
      <c r="M2" s="119" t="s">
        <v>75</v>
      </c>
      <c r="N2" s="119"/>
      <c r="O2" s="119"/>
      <c r="P2" s="120"/>
      <c r="Q2" s="123"/>
      <c r="R2" s="123"/>
      <c r="S2" s="123"/>
      <c r="T2" s="123"/>
      <c r="U2" s="123"/>
      <c r="V2" s="123"/>
      <c r="W2" s="123"/>
      <c r="X2" s="123"/>
      <c r="Y2" s="123"/>
    </row>
    <row r="3" spans="1:39" ht="27.75">
      <c r="A3" s="119" t="s">
        <v>76</v>
      </c>
      <c r="B3" s="119"/>
      <c r="C3" s="119"/>
      <c r="D3" s="120"/>
      <c r="E3" s="121"/>
      <c r="F3" s="121"/>
      <c r="G3" s="121"/>
      <c r="H3" s="121"/>
      <c r="I3" s="121"/>
      <c r="J3" s="121"/>
      <c r="K3" s="121"/>
      <c r="L3" s="121"/>
      <c r="M3" s="119" t="s">
        <v>77</v>
      </c>
      <c r="N3" s="119"/>
      <c r="O3" s="119"/>
      <c r="P3" s="120"/>
      <c r="Q3" s="123"/>
      <c r="R3" s="123"/>
      <c r="S3" s="123"/>
      <c r="T3" s="123"/>
      <c r="U3" s="123"/>
      <c r="V3" s="123"/>
      <c r="W3" s="123"/>
      <c r="X3" s="123"/>
      <c r="Y3" s="123"/>
    </row>
    <row r="4" spans="1:39" ht="27.75">
      <c r="A4" s="121"/>
      <c r="B4" s="121"/>
      <c r="C4" s="121"/>
      <c r="D4" s="125"/>
      <c r="E4" s="121"/>
      <c r="F4" s="121"/>
      <c r="G4" s="121"/>
      <c r="H4" s="121"/>
      <c r="I4" s="121"/>
      <c r="J4" s="121"/>
      <c r="K4" s="121"/>
      <c r="L4" s="121"/>
      <c r="M4" s="121"/>
      <c r="N4" s="121"/>
      <c r="O4" s="121"/>
      <c r="P4" s="121"/>
      <c r="Q4" s="121"/>
      <c r="R4" s="121"/>
      <c r="S4" s="121"/>
      <c r="T4" s="121"/>
    </row>
    <row r="5" spans="1:39" ht="27.75">
      <c r="A5" s="121"/>
      <c r="B5" s="121"/>
      <c r="C5" s="121"/>
      <c r="D5" s="125"/>
      <c r="E5" s="127" t="s">
        <v>78</v>
      </c>
      <c r="F5" s="127"/>
      <c r="G5" s="127"/>
      <c r="H5" s="127"/>
      <c r="I5" s="127"/>
      <c r="J5" s="127"/>
      <c r="K5" s="127"/>
      <c r="L5" s="127"/>
      <c r="M5" s="127"/>
      <c r="N5" s="127"/>
      <c r="O5" s="127"/>
      <c r="P5" s="127"/>
      <c r="Q5" s="127"/>
      <c r="R5" s="121"/>
      <c r="S5" s="121"/>
      <c r="T5" s="121"/>
    </row>
    <row r="6" spans="1:39" ht="27.75">
      <c r="A6" s="121"/>
      <c r="B6" s="121"/>
      <c r="C6" s="121"/>
      <c r="D6" s="125"/>
      <c r="E6" s="127" t="s">
        <v>79</v>
      </c>
      <c r="F6" s="127"/>
      <c r="G6" s="127"/>
      <c r="H6" s="127"/>
      <c r="I6" s="127"/>
      <c r="J6" s="127"/>
      <c r="K6" s="127"/>
      <c r="L6" s="127"/>
      <c r="M6" s="127"/>
      <c r="N6" s="127"/>
      <c r="O6" s="127"/>
      <c r="P6" s="127"/>
      <c r="Q6" s="127"/>
      <c r="R6" s="121"/>
      <c r="S6" s="121"/>
      <c r="T6" s="121"/>
    </row>
    <row r="7" spans="1:39" ht="27.75">
      <c r="A7" s="121"/>
      <c r="B7" s="121"/>
      <c r="C7" s="121"/>
      <c r="D7" s="125"/>
      <c r="E7" s="121"/>
      <c r="F7" s="121"/>
      <c r="G7" s="121"/>
      <c r="H7" s="121"/>
      <c r="I7" s="121"/>
      <c r="J7" s="121"/>
      <c r="K7" s="121"/>
      <c r="L7" s="121"/>
      <c r="M7" s="121"/>
      <c r="N7" s="121"/>
      <c r="O7" s="121"/>
      <c r="P7" s="121"/>
      <c r="Q7" s="121"/>
      <c r="R7" s="121"/>
      <c r="S7" s="121"/>
      <c r="T7" s="121"/>
    </row>
    <row r="8" spans="1:39" ht="51" customHeight="1">
      <c r="A8" s="128" t="s">
        <v>80</v>
      </c>
      <c r="B8" s="129" t="s">
        <v>81</v>
      </c>
      <c r="C8" s="130" t="s">
        <v>82</v>
      </c>
      <c r="D8" s="131" t="s">
        <v>83</v>
      </c>
      <c r="E8" s="130" t="s">
        <v>84</v>
      </c>
      <c r="F8" s="130" t="s">
        <v>85</v>
      </c>
      <c r="G8" s="130" t="s">
        <v>86</v>
      </c>
      <c r="H8" s="132" t="s">
        <v>87</v>
      </c>
      <c r="I8" s="132" t="s">
        <v>88</v>
      </c>
      <c r="J8" s="133" t="s">
        <v>89</v>
      </c>
      <c r="K8" s="133"/>
      <c r="L8" s="133" t="s">
        <v>90</v>
      </c>
      <c r="M8" s="133"/>
      <c r="N8" s="134" t="s">
        <v>91</v>
      </c>
      <c r="O8" s="135"/>
      <c r="P8" s="136" t="s">
        <v>92</v>
      </c>
      <c r="Q8" s="137"/>
      <c r="R8" s="138" t="s">
        <v>93</v>
      </c>
      <c r="S8" s="139"/>
      <c r="T8" s="140" t="s">
        <v>94</v>
      </c>
      <c r="U8" s="140" t="s">
        <v>95</v>
      </c>
      <c r="V8" s="140" t="s">
        <v>96</v>
      </c>
      <c r="W8" s="141">
        <v>0.1</v>
      </c>
      <c r="X8" s="130" t="s">
        <v>65</v>
      </c>
      <c r="Y8" s="142"/>
      <c r="Z8" s="142"/>
      <c r="AA8" s="142"/>
      <c r="AB8" s="142"/>
      <c r="AC8" s="142"/>
      <c r="AD8" s="142"/>
      <c r="AE8" s="142"/>
      <c r="AF8" s="142"/>
    </row>
    <row r="9" spans="1:39" ht="27.75">
      <c r="A9" s="143"/>
      <c r="B9" s="144" t="s">
        <v>97</v>
      </c>
      <c r="C9" s="145"/>
      <c r="D9" s="146"/>
      <c r="E9" s="145"/>
      <c r="F9" s="145"/>
      <c r="G9" s="145"/>
      <c r="H9" s="147"/>
      <c r="I9" s="147"/>
      <c r="J9" s="133" t="s">
        <v>98</v>
      </c>
      <c r="K9" s="133" t="s">
        <v>99</v>
      </c>
      <c r="L9" s="133" t="s">
        <v>98</v>
      </c>
      <c r="M9" s="133" t="s">
        <v>99</v>
      </c>
      <c r="N9" s="133" t="s">
        <v>98</v>
      </c>
      <c r="O9" s="133" t="s">
        <v>99</v>
      </c>
      <c r="P9" s="133" t="s">
        <v>98</v>
      </c>
      <c r="Q9" s="133" t="s">
        <v>99</v>
      </c>
      <c r="R9" s="133" t="s">
        <v>100</v>
      </c>
      <c r="S9" s="133" t="s">
        <v>101</v>
      </c>
      <c r="T9" s="148"/>
      <c r="U9" s="148"/>
      <c r="V9" s="148"/>
      <c r="W9" s="149"/>
      <c r="X9" s="145"/>
      <c r="Y9" s="142"/>
      <c r="Z9" s="142"/>
      <c r="AA9" s="142"/>
      <c r="AB9" s="142"/>
      <c r="AC9" s="142"/>
      <c r="AD9" s="142"/>
      <c r="AE9" s="142"/>
      <c r="AF9" s="142"/>
    </row>
    <row r="10" spans="1:39" s="159" customFormat="1" ht="27.75" customHeight="1">
      <c r="A10" s="150">
        <v>1</v>
      </c>
      <c r="B10" s="151" t="s">
        <v>102</v>
      </c>
      <c r="C10" s="151" t="s">
        <v>103</v>
      </c>
      <c r="D10" s="151" t="s">
        <v>104</v>
      </c>
      <c r="E10" s="151" t="s">
        <v>105</v>
      </c>
      <c r="F10" s="151" t="s">
        <v>103</v>
      </c>
      <c r="G10" s="151" t="s">
        <v>106</v>
      </c>
      <c r="H10" s="151">
        <v>5.41</v>
      </c>
      <c r="I10" s="152">
        <f>17697*H10*1.5</f>
        <v>143611.155</v>
      </c>
      <c r="J10" s="153"/>
      <c r="K10" s="153">
        <v>7.5</v>
      </c>
      <c r="L10" s="153"/>
      <c r="M10" s="153">
        <v>7.5</v>
      </c>
      <c r="N10" s="154">
        <f t="shared" ref="N10:N26" si="0">I10/18*J10</f>
        <v>0</v>
      </c>
      <c r="O10" s="155">
        <f t="shared" ref="O10:O26" si="1">I10/18*K10</f>
        <v>59837.981249999997</v>
      </c>
      <c r="P10" s="155">
        <f>17697*40%/18*L10</f>
        <v>0</v>
      </c>
      <c r="Q10" s="155">
        <f>17697*40%/18*M10</f>
        <v>2949.5</v>
      </c>
      <c r="R10" s="156">
        <v>7.5</v>
      </c>
      <c r="S10" s="155">
        <f>I10/18*R10*30%</f>
        <v>17951.394375</v>
      </c>
      <c r="T10" s="155">
        <f>I10/18*40%*(J10+K10)</f>
        <v>23935.192500000005</v>
      </c>
      <c r="U10" s="155"/>
      <c r="V10" s="155"/>
      <c r="W10" s="155">
        <f>(N10+O10)*10%</f>
        <v>5983.7981250000003</v>
      </c>
      <c r="X10" s="155">
        <f>N10+O10+P10+Q10+S10+T10+U10+V10+W10</f>
        <v>110657.86625000001</v>
      </c>
      <c r="Y10" s="157"/>
      <c r="Z10" s="158"/>
      <c r="AA10" s="158"/>
      <c r="AB10" s="158"/>
      <c r="AC10" s="158"/>
      <c r="AD10" s="158"/>
      <c r="AE10" s="158"/>
      <c r="AF10" s="158"/>
      <c r="AG10" s="158"/>
      <c r="AH10" s="158"/>
      <c r="AI10" s="158"/>
      <c r="AJ10" s="158"/>
      <c r="AK10" s="158"/>
      <c r="AL10" s="158"/>
      <c r="AM10" s="158"/>
    </row>
    <row r="11" spans="1:39" s="159" customFormat="1" ht="27.75" customHeight="1">
      <c r="A11" s="150">
        <v>2</v>
      </c>
      <c r="B11" s="151" t="s">
        <v>107</v>
      </c>
      <c r="C11" s="151" t="s">
        <v>103</v>
      </c>
      <c r="D11" s="151" t="s">
        <v>108</v>
      </c>
      <c r="E11" s="151" t="s">
        <v>109</v>
      </c>
      <c r="F11" s="151" t="s">
        <v>103</v>
      </c>
      <c r="G11" s="151" t="s">
        <v>106</v>
      </c>
      <c r="H11" s="151">
        <v>5.32</v>
      </c>
      <c r="I11" s="152">
        <f t="shared" ref="I11:I26" si="2">17697*H11*1.5</f>
        <v>141222.06</v>
      </c>
      <c r="J11" s="153"/>
      <c r="K11" s="153">
        <v>4</v>
      </c>
      <c r="L11" s="153"/>
      <c r="M11" s="153">
        <v>4</v>
      </c>
      <c r="N11" s="154">
        <f t="shared" si="0"/>
        <v>0</v>
      </c>
      <c r="O11" s="155">
        <f t="shared" si="1"/>
        <v>31382.68</v>
      </c>
      <c r="P11" s="155">
        <f t="shared" ref="P11:Q26" si="3">17697*40%/18*L11</f>
        <v>0</v>
      </c>
      <c r="Q11" s="155">
        <f t="shared" si="3"/>
        <v>1573.0666666666666</v>
      </c>
      <c r="R11" s="155">
        <v>4</v>
      </c>
      <c r="S11" s="155">
        <f t="shared" ref="S11:S26" si="4">I11/18*R11*30%</f>
        <v>9414.8040000000001</v>
      </c>
      <c r="T11" s="155">
        <f t="shared" ref="T11:T12" si="5">I11/18*40%*(J11+K11)</f>
        <v>12553.072</v>
      </c>
      <c r="U11" s="155"/>
      <c r="V11" s="155"/>
      <c r="W11" s="155">
        <f t="shared" ref="W11:W26" si="6">(N11+O11)*10%</f>
        <v>3138.268</v>
      </c>
      <c r="X11" s="155">
        <f t="shared" ref="X11:X26" si="7">N11+O11+P11+Q11+S11+T11+U11+V11+W11</f>
        <v>58061.890666666659</v>
      </c>
      <c r="Y11" s="158"/>
      <c r="Z11" s="158"/>
      <c r="AA11" s="158"/>
      <c r="AB11" s="158"/>
      <c r="AC11" s="158"/>
      <c r="AD11" s="158"/>
      <c r="AE11" s="158"/>
      <c r="AF11" s="158"/>
      <c r="AG11" s="158"/>
      <c r="AH11" s="158"/>
      <c r="AI11" s="158"/>
      <c r="AJ11" s="158"/>
      <c r="AK11" s="158"/>
      <c r="AL11" s="158"/>
    </row>
    <row r="12" spans="1:39" s="159" customFormat="1" ht="26.25" customHeight="1">
      <c r="A12" s="150">
        <v>3</v>
      </c>
      <c r="B12" s="160" t="s">
        <v>110</v>
      </c>
      <c r="C12" s="160" t="s">
        <v>103</v>
      </c>
      <c r="D12" s="151" t="s">
        <v>111</v>
      </c>
      <c r="E12" s="160" t="s">
        <v>112</v>
      </c>
      <c r="F12" s="151" t="s">
        <v>103</v>
      </c>
      <c r="G12" s="151" t="s">
        <v>106</v>
      </c>
      <c r="H12" s="151">
        <v>5.24</v>
      </c>
      <c r="I12" s="152">
        <f t="shared" si="2"/>
        <v>139098.41999999998</v>
      </c>
      <c r="J12" s="153"/>
      <c r="K12" s="161">
        <v>4</v>
      </c>
      <c r="L12" s="153"/>
      <c r="M12" s="153">
        <v>4</v>
      </c>
      <c r="N12" s="154">
        <f t="shared" si="0"/>
        <v>0</v>
      </c>
      <c r="O12" s="155">
        <f t="shared" si="1"/>
        <v>30910.759999999995</v>
      </c>
      <c r="P12" s="155">
        <f t="shared" si="3"/>
        <v>0</v>
      </c>
      <c r="Q12" s="155">
        <f t="shared" si="3"/>
        <v>1573.0666666666666</v>
      </c>
      <c r="R12" s="155">
        <v>4</v>
      </c>
      <c r="S12" s="155">
        <f t="shared" si="4"/>
        <v>9273.2279999999973</v>
      </c>
      <c r="T12" s="155">
        <f t="shared" si="5"/>
        <v>12364.303999999998</v>
      </c>
      <c r="U12" s="155"/>
      <c r="V12" s="155"/>
      <c r="W12" s="155">
        <f t="shared" si="6"/>
        <v>3091.0759999999996</v>
      </c>
      <c r="X12" s="155">
        <f t="shared" si="7"/>
        <v>57212.434666666653</v>
      </c>
      <c r="Y12" s="158"/>
      <c r="Z12" s="158"/>
      <c r="AA12" s="158"/>
      <c r="AB12" s="158"/>
      <c r="AC12" s="158"/>
      <c r="AD12" s="158"/>
      <c r="AE12" s="162"/>
      <c r="AF12" s="158"/>
      <c r="AG12" s="162"/>
      <c r="AH12" s="162"/>
      <c r="AI12" s="162"/>
      <c r="AJ12" s="158"/>
      <c r="AK12" s="158"/>
      <c r="AL12" s="158"/>
    </row>
    <row r="13" spans="1:39" s="159" customFormat="1" ht="27.75" customHeight="1">
      <c r="A13" s="150">
        <v>4</v>
      </c>
      <c r="B13" s="151" t="s">
        <v>113</v>
      </c>
      <c r="C13" s="151" t="s">
        <v>103</v>
      </c>
      <c r="D13" s="151" t="s">
        <v>114</v>
      </c>
      <c r="E13" s="151" t="s">
        <v>115</v>
      </c>
      <c r="F13" s="151" t="s">
        <v>116</v>
      </c>
      <c r="G13" s="151" t="s">
        <v>117</v>
      </c>
      <c r="H13" s="163">
        <v>5.2</v>
      </c>
      <c r="I13" s="152">
        <f t="shared" si="2"/>
        <v>138036.6</v>
      </c>
      <c r="J13" s="161">
        <v>2</v>
      </c>
      <c r="K13" s="161">
        <v>2</v>
      </c>
      <c r="L13" s="153">
        <v>2</v>
      </c>
      <c r="M13" s="153">
        <v>2</v>
      </c>
      <c r="N13" s="155">
        <f t="shared" si="0"/>
        <v>15337.400000000001</v>
      </c>
      <c r="O13" s="155">
        <f t="shared" si="1"/>
        <v>15337.400000000001</v>
      </c>
      <c r="P13" s="155">
        <f t="shared" si="3"/>
        <v>786.5333333333333</v>
      </c>
      <c r="Q13" s="155">
        <f t="shared" si="3"/>
        <v>786.5333333333333</v>
      </c>
      <c r="R13" s="155">
        <v>4</v>
      </c>
      <c r="S13" s="155">
        <f t="shared" si="4"/>
        <v>9202.44</v>
      </c>
      <c r="T13" s="155"/>
      <c r="U13" s="155">
        <f>I13/18*35%*(J13+K13)</f>
        <v>10736.18</v>
      </c>
      <c r="V13" s="155"/>
      <c r="W13" s="155">
        <f t="shared" si="6"/>
        <v>3067.4800000000005</v>
      </c>
      <c r="X13" s="155">
        <f t="shared" si="7"/>
        <v>55253.966666666674</v>
      </c>
      <c r="Y13" s="158"/>
      <c r="Z13" s="158"/>
      <c r="AA13" s="158"/>
      <c r="AB13" s="158"/>
      <c r="AC13" s="158"/>
      <c r="AD13" s="158"/>
      <c r="AE13" s="158"/>
      <c r="AF13" s="158"/>
      <c r="AG13" s="158"/>
      <c r="AH13" s="158"/>
      <c r="AI13" s="158"/>
      <c r="AJ13" s="158"/>
      <c r="AK13" s="158"/>
      <c r="AL13" s="158"/>
    </row>
    <row r="14" spans="1:39" s="159" customFormat="1" ht="32.25" customHeight="1">
      <c r="A14" s="150">
        <v>5</v>
      </c>
      <c r="B14" s="151" t="s">
        <v>118</v>
      </c>
      <c r="C14" s="151" t="s">
        <v>103</v>
      </c>
      <c r="D14" s="151" t="s">
        <v>119</v>
      </c>
      <c r="E14" s="151" t="s">
        <v>115</v>
      </c>
      <c r="F14" s="151" t="s">
        <v>116</v>
      </c>
      <c r="G14" s="151" t="s">
        <v>117</v>
      </c>
      <c r="H14" s="151">
        <v>5.12</v>
      </c>
      <c r="I14" s="152">
        <f t="shared" si="2"/>
        <v>135912.95999999999</v>
      </c>
      <c r="J14" s="153"/>
      <c r="K14" s="161">
        <v>2</v>
      </c>
      <c r="L14" s="153"/>
      <c r="M14" s="153">
        <v>2</v>
      </c>
      <c r="N14" s="154">
        <f t="shared" si="0"/>
        <v>0</v>
      </c>
      <c r="O14" s="155">
        <f t="shared" si="1"/>
        <v>15101.439999999999</v>
      </c>
      <c r="P14" s="155">
        <f t="shared" si="3"/>
        <v>0</v>
      </c>
      <c r="Q14" s="155">
        <f t="shared" si="3"/>
        <v>786.5333333333333</v>
      </c>
      <c r="R14" s="155">
        <v>2</v>
      </c>
      <c r="S14" s="155">
        <f t="shared" si="4"/>
        <v>4530.4319999999998</v>
      </c>
      <c r="T14" s="155"/>
      <c r="U14" s="155">
        <f t="shared" ref="U14:U15" si="8">I14/18*35%*(J14+K14)</f>
        <v>5285.503999999999</v>
      </c>
      <c r="V14" s="155"/>
      <c r="W14" s="155">
        <f t="shared" si="6"/>
        <v>1510.144</v>
      </c>
      <c r="X14" s="155">
        <f t="shared" si="7"/>
        <v>27214.05333333333</v>
      </c>
      <c r="Y14" s="158"/>
      <c r="Z14" s="158"/>
      <c r="AA14" s="158"/>
      <c r="AB14" s="158"/>
      <c r="AC14" s="158"/>
      <c r="AD14" s="158"/>
      <c r="AE14" s="158"/>
      <c r="AF14" s="158"/>
      <c r="AG14" s="158"/>
      <c r="AH14" s="158"/>
      <c r="AI14" s="158"/>
      <c r="AJ14" s="158"/>
      <c r="AK14" s="158"/>
      <c r="AL14" s="158"/>
    </row>
    <row r="15" spans="1:39" s="159" customFormat="1" ht="24.75" customHeight="1">
      <c r="A15" s="150">
        <v>6</v>
      </c>
      <c r="B15" s="151" t="s">
        <v>120</v>
      </c>
      <c r="C15" s="151" t="s">
        <v>103</v>
      </c>
      <c r="D15" s="151" t="s">
        <v>121</v>
      </c>
      <c r="E15" s="151" t="s">
        <v>109</v>
      </c>
      <c r="F15" s="151" t="s">
        <v>116</v>
      </c>
      <c r="G15" s="151" t="s">
        <v>117</v>
      </c>
      <c r="H15" s="151">
        <v>4.95</v>
      </c>
      <c r="I15" s="152">
        <f t="shared" si="2"/>
        <v>131400.22500000001</v>
      </c>
      <c r="J15" s="153"/>
      <c r="K15" s="161">
        <v>4</v>
      </c>
      <c r="L15" s="153"/>
      <c r="M15" s="153">
        <v>4</v>
      </c>
      <c r="N15" s="154">
        <f t="shared" si="0"/>
        <v>0</v>
      </c>
      <c r="O15" s="155">
        <f t="shared" si="1"/>
        <v>29200.050000000003</v>
      </c>
      <c r="P15" s="155">
        <f t="shared" si="3"/>
        <v>0</v>
      </c>
      <c r="Q15" s="155">
        <f t="shared" si="3"/>
        <v>1573.0666666666666</v>
      </c>
      <c r="R15" s="155">
        <v>4</v>
      </c>
      <c r="S15" s="155">
        <f t="shared" si="4"/>
        <v>8760.0150000000012</v>
      </c>
      <c r="T15" s="155"/>
      <c r="U15" s="155">
        <f t="shared" si="8"/>
        <v>10220.0175</v>
      </c>
      <c r="V15" s="155"/>
      <c r="W15" s="155">
        <f t="shared" si="6"/>
        <v>2920.0050000000006</v>
      </c>
      <c r="X15" s="155">
        <f t="shared" si="7"/>
        <v>52673.154166666667</v>
      </c>
      <c r="Y15" s="158"/>
      <c r="Z15" s="158"/>
      <c r="AA15" s="158"/>
      <c r="AB15" s="158"/>
      <c r="AC15" s="158"/>
      <c r="AD15" s="158"/>
      <c r="AE15" s="158"/>
      <c r="AF15" s="158"/>
      <c r="AG15" s="158"/>
      <c r="AH15" s="158"/>
      <c r="AI15" s="158"/>
      <c r="AJ15" s="158"/>
      <c r="AK15" s="158"/>
      <c r="AL15" s="158"/>
      <c r="AM15" s="158"/>
    </row>
    <row r="16" spans="1:39" s="159" customFormat="1" ht="27.75" customHeight="1">
      <c r="A16" s="150">
        <v>7</v>
      </c>
      <c r="B16" s="151" t="s">
        <v>122</v>
      </c>
      <c r="C16" s="151" t="s">
        <v>103</v>
      </c>
      <c r="D16" s="151" t="s">
        <v>123</v>
      </c>
      <c r="E16" s="151" t="s">
        <v>124</v>
      </c>
      <c r="F16" s="151" t="s">
        <v>125</v>
      </c>
      <c r="G16" s="151" t="s">
        <v>126</v>
      </c>
      <c r="H16" s="151">
        <v>4.74</v>
      </c>
      <c r="I16" s="152">
        <f t="shared" si="2"/>
        <v>125825.67</v>
      </c>
      <c r="J16" s="153"/>
      <c r="K16" s="161">
        <v>4</v>
      </c>
      <c r="L16" s="153"/>
      <c r="M16" s="153">
        <v>4</v>
      </c>
      <c r="N16" s="154">
        <f t="shared" si="0"/>
        <v>0</v>
      </c>
      <c r="O16" s="155">
        <f t="shared" si="1"/>
        <v>27961.26</v>
      </c>
      <c r="P16" s="155">
        <f t="shared" si="3"/>
        <v>0</v>
      </c>
      <c r="Q16" s="155">
        <f t="shared" si="3"/>
        <v>1573.0666666666666</v>
      </c>
      <c r="R16" s="155">
        <v>4</v>
      </c>
      <c r="S16" s="155">
        <f t="shared" si="4"/>
        <v>8388.3779999999988</v>
      </c>
      <c r="T16" s="155"/>
      <c r="U16" s="155"/>
      <c r="V16" s="155">
        <f>I16/18*30%*(K16+J16)</f>
        <v>8388.3779999999988</v>
      </c>
      <c r="W16" s="155">
        <f t="shared" si="6"/>
        <v>2796.1260000000002</v>
      </c>
      <c r="X16" s="155">
        <f t="shared" si="7"/>
        <v>49107.208666666658</v>
      </c>
      <c r="Y16" s="162"/>
      <c r="Z16" s="158"/>
      <c r="AA16" s="162"/>
      <c r="AB16" s="162"/>
      <c r="AC16" s="162"/>
      <c r="AD16" s="158"/>
      <c r="AE16" s="158"/>
      <c r="AF16" s="158"/>
    </row>
    <row r="17" spans="1:59" s="159" customFormat="1" ht="27.75" customHeight="1">
      <c r="A17" s="150">
        <v>8</v>
      </c>
      <c r="B17" s="151" t="s">
        <v>127</v>
      </c>
      <c r="C17" s="151" t="s">
        <v>103</v>
      </c>
      <c r="D17" s="151" t="s">
        <v>128</v>
      </c>
      <c r="E17" s="151" t="s">
        <v>129</v>
      </c>
      <c r="F17" s="151" t="s">
        <v>125</v>
      </c>
      <c r="G17" s="151" t="s">
        <v>126</v>
      </c>
      <c r="H17" s="151">
        <v>4.59</v>
      </c>
      <c r="I17" s="152">
        <f t="shared" si="2"/>
        <v>121843.845</v>
      </c>
      <c r="J17" s="153">
        <v>1</v>
      </c>
      <c r="K17" s="153">
        <v>2</v>
      </c>
      <c r="L17" s="153">
        <v>1</v>
      </c>
      <c r="M17" s="153">
        <v>2</v>
      </c>
      <c r="N17" s="155">
        <f t="shared" si="0"/>
        <v>6769.1025</v>
      </c>
      <c r="O17" s="155">
        <f t="shared" si="1"/>
        <v>13538.205</v>
      </c>
      <c r="P17" s="155">
        <f t="shared" si="3"/>
        <v>393.26666666666665</v>
      </c>
      <c r="Q17" s="155">
        <f t="shared" si="3"/>
        <v>786.5333333333333</v>
      </c>
      <c r="R17" s="155">
        <v>3</v>
      </c>
      <c r="S17" s="155">
        <f t="shared" si="4"/>
        <v>6092.1922499999991</v>
      </c>
      <c r="T17" s="155"/>
      <c r="U17" s="155"/>
      <c r="V17" s="155">
        <f>I17/18*30%*(K17+J17)</f>
        <v>6092.1922500000001</v>
      </c>
      <c r="W17" s="155">
        <f t="shared" si="6"/>
        <v>2030.7307499999999</v>
      </c>
      <c r="X17" s="155">
        <f t="shared" si="7"/>
        <v>35702.222750000001</v>
      </c>
      <c r="Y17" s="158"/>
      <c r="Z17" s="158"/>
      <c r="AA17" s="158"/>
      <c r="AB17" s="158"/>
      <c r="AC17" s="158"/>
      <c r="AD17" s="158"/>
      <c r="AE17" s="158"/>
      <c r="AF17" s="158"/>
      <c r="AG17" s="158"/>
      <c r="AH17" s="158"/>
      <c r="AI17" s="158"/>
      <c r="AJ17" s="158"/>
      <c r="AK17" s="158"/>
      <c r="AL17" s="158"/>
    </row>
    <row r="18" spans="1:59" s="159" customFormat="1" ht="31.5" customHeight="1">
      <c r="A18" s="150">
        <v>9</v>
      </c>
      <c r="B18" s="151" t="s">
        <v>130</v>
      </c>
      <c r="C18" s="151" t="s">
        <v>103</v>
      </c>
      <c r="D18" s="151" t="s">
        <v>131</v>
      </c>
      <c r="E18" s="151" t="s">
        <v>132</v>
      </c>
      <c r="F18" s="151" t="s">
        <v>133</v>
      </c>
      <c r="G18" s="151" t="s">
        <v>134</v>
      </c>
      <c r="H18" s="151">
        <v>4.7300000000000004</v>
      </c>
      <c r="I18" s="152">
        <f t="shared" si="2"/>
        <v>125560.21500000003</v>
      </c>
      <c r="J18" s="153"/>
      <c r="K18" s="164" t="s">
        <v>135</v>
      </c>
      <c r="L18" s="153"/>
      <c r="M18" s="165" t="s">
        <v>135</v>
      </c>
      <c r="N18" s="155">
        <f t="shared" si="0"/>
        <v>0</v>
      </c>
      <c r="O18" s="155">
        <f t="shared" si="1"/>
        <v>3487.7837500000005</v>
      </c>
      <c r="P18" s="155">
        <f t="shared" si="3"/>
        <v>0</v>
      </c>
      <c r="Q18" s="155">
        <f t="shared" si="3"/>
        <v>196.63333333333333</v>
      </c>
      <c r="R18" s="156">
        <v>0.5</v>
      </c>
      <c r="S18" s="155">
        <f t="shared" si="4"/>
        <v>1046.3351250000001</v>
      </c>
      <c r="T18" s="155"/>
      <c r="U18" s="155"/>
      <c r="V18" s="155"/>
      <c r="W18" s="155">
        <f t="shared" si="6"/>
        <v>348.7783750000001</v>
      </c>
      <c r="X18" s="155">
        <f t="shared" si="7"/>
        <v>5079.5305833333332</v>
      </c>
      <c r="Y18" s="158"/>
      <c r="Z18" s="158"/>
      <c r="AA18" s="158"/>
      <c r="AB18" s="158"/>
      <c r="AC18" s="158"/>
      <c r="AD18" s="158"/>
      <c r="AE18" s="158"/>
      <c r="AF18" s="158"/>
      <c r="AG18" s="158"/>
      <c r="AH18" s="158"/>
      <c r="AI18" s="158"/>
      <c r="AJ18" s="158"/>
      <c r="AK18" s="158"/>
      <c r="AL18" s="158"/>
    </row>
    <row r="19" spans="1:59" s="159" customFormat="1" ht="27.75" customHeight="1">
      <c r="A19" s="150">
        <v>10</v>
      </c>
      <c r="B19" s="151" t="s">
        <v>136</v>
      </c>
      <c r="C19" s="151" t="s">
        <v>103</v>
      </c>
      <c r="D19" s="151" t="s">
        <v>137</v>
      </c>
      <c r="E19" s="151" t="s">
        <v>105</v>
      </c>
      <c r="F19" s="151" t="s">
        <v>133</v>
      </c>
      <c r="G19" s="151" t="s">
        <v>134</v>
      </c>
      <c r="H19" s="151">
        <v>4.38</v>
      </c>
      <c r="I19" s="152">
        <f t="shared" si="2"/>
        <v>116269.29000000001</v>
      </c>
      <c r="J19" s="153"/>
      <c r="K19" s="166">
        <v>8</v>
      </c>
      <c r="L19" s="153"/>
      <c r="M19" s="153">
        <v>8</v>
      </c>
      <c r="N19" s="155">
        <f t="shared" si="0"/>
        <v>0</v>
      </c>
      <c r="O19" s="155">
        <f t="shared" si="1"/>
        <v>51675.240000000005</v>
      </c>
      <c r="P19" s="155">
        <f t="shared" si="3"/>
        <v>0</v>
      </c>
      <c r="Q19" s="155">
        <f t="shared" si="3"/>
        <v>3146.1333333333332</v>
      </c>
      <c r="R19" s="155">
        <v>8</v>
      </c>
      <c r="S19" s="155">
        <f t="shared" si="4"/>
        <v>15502.572</v>
      </c>
      <c r="T19" s="155"/>
      <c r="U19" s="155"/>
      <c r="V19" s="155"/>
      <c r="W19" s="155">
        <f t="shared" si="6"/>
        <v>5167.5240000000013</v>
      </c>
      <c r="X19" s="155">
        <f t="shared" si="7"/>
        <v>75491.469333333342</v>
      </c>
      <c r="Y19" s="158"/>
      <c r="Z19" s="158"/>
      <c r="AA19" s="158"/>
      <c r="AB19" s="158"/>
      <c r="AC19" s="158"/>
      <c r="AD19" s="158"/>
      <c r="AE19" s="158"/>
      <c r="AF19" s="158"/>
      <c r="AG19" s="158"/>
      <c r="AH19" s="158"/>
      <c r="AI19" s="158"/>
      <c r="AJ19" s="158"/>
      <c r="AK19" s="158"/>
      <c r="AL19" s="158"/>
    </row>
    <row r="20" spans="1:59" s="159" customFormat="1" ht="26.25" customHeight="1">
      <c r="A20" s="150">
        <v>11</v>
      </c>
      <c r="B20" s="151" t="s">
        <v>138</v>
      </c>
      <c r="C20" s="151" t="s">
        <v>103</v>
      </c>
      <c r="D20" s="151" t="s">
        <v>139</v>
      </c>
      <c r="E20" s="151" t="s">
        <v>140</v>
      </c>
      <c r="F20" s="151" t="s">
        <v>133</v>
      </c>
      <c r="G20" s="151" t="s">
        <v>134</v>
      </c>
      <c r="H20" s="151">
        <v>4.2300000000000004</v>
      </c>
      <c r="I20" s="152">
        <f t="shared" si="2"/>
        <v>112287.46500000003</v>
      </c>
      <c r="J20" s="166">
        <v>6</v>
      </c>
      <c r="K20" s="166">
        <v>0</v>
      </c>
      <c r="L20" s="153">
        <v>6</v>
      </c>
      <c r="M20" s="153">
        <v>0</v>
      </c>
      <c r="N20" s="155">
        <f t="shared" si="0"/>
        <v>37429.155000000006</v>
      </c>
      <c r="O20" s="155">
        <f t="shared" si="1"/>
        <v>0</v>
      </c>
      <c r="P20" s="155">
        <f t="shared" si="3"/>
        <v>2359.6</v>
      </c>
      <c r="Q20" s="155">
        <f t="shared" si="3"/>
        <v>0</v>
      </c>
      <c r="R20" s="155">
        <v>6</v>
      </c>
      <c r="S20" s="155">
        <f t="shared" si="4"/>
        <v>11228.746500000001</v>
      </c>
      <c r="T20" s="155"/>
      <c r="U20" s="155"/>
      <c r="V20" s="155"/>
      <c r="W20" s="155">
        <f t="shared" si="6"/>
        <v>3742.915500000001</v>
      </c>
      <c r="X20" s="155">
        <f t="shared" si="7"/>
        <v>54760.417000000009</v>
      </c>
      <c r="Y20" s="158"/>
      <c r="Z20" s="158"/>
      <c r="AA20" s="158"/>
      <c r="AB20" s="158"/>
      <c r="AC20" s="158"/>
      <c r="AD20" s="158"/>
      <c r="AE20" s="158"/>
      <c r="AF20" s="158"/>
      <c r="AG20" s="158"/>
      <c r="AH20" s="158"/>
      <c r="AI20" s="158"/>
      <c r="AJ20" s="158"/>
      <c r="AK20" s="158"/>
      <c r="AL20" s="158"/>
    </row>
    <row r="21" spans="1:59" s="159" customFormat="1" ht="27.75" customHeight="1">
      <c r="A21" s="150">
        <v>12</v>
      </c>
      <c r="B21" s="151" t="s">
        <v>141</v>
      </c>
      <c r="C21" s="151" t="s">
        <v>103</v>
      </c>
      <c r="D21" s="151" t="s">
        <v>142</v>
      </c>
      <c r="E21" s="151" t="s">
        <v>129</v>
      </c>
      <c r="F21" s="151" t="s">
        <v>133</v>
      </c>
      <c r="G21" s="151" t="s">
        <v>134</v>
      </c>
      <c r="H21" s="151">
        <v>4.2300000000000004</v>
      </c>
      <c r="I21" s="152">
        <f t="shared" si="2"/>
        <v>112287.46500000003</v>
      </c>
      <c r="J21" s="166"/>
      <c r="K21" s="166">
        <v>2</v>
      </c>
      <c r="L21" s="153"/>
      <c r="M21" s="153">
        <v>2</v>
      </c>
      <c r="N21" s="155">
        <f t="shared" si="0"/>
        <v>0</v>
      </c>
      <c r="O21" s="155">
        <f t="shared" si="1"/>
        <v>12476.385000000002</v>
      </c>
      <c r="P21" s="155">
        <f t="shared" si="3"/>
        <v>0</v>
      </c>
      <c r="Q21" s="155">
        <f t="shared" si="3"/>
        <v>786.5333333333333</v>
      </c>
      <c r="R21" s="155">
        <v>2</v>
      </c>
      <c r="S21" s="155">
        <f t="shared" si="4"/>
        <v>3742.9155000000005</v>
      </c>
      <c r="T21" s="155"/>
      <c r="U21" s="155"/>
      <c r="V21" s="155"/>
      <c r="W21" s="155">
        <f t="shared" si="6"/>
        <v>1247.6385000000002</v>
      </c>
      <c r="X21" s="155">
        <f t="shared" si="7"/>
        <v>18253.472333333335</v>
      </c>
      <c r="Y21" s="158"/>
      <c r="Z21" s="158"/>
      <c r="AA21" s="158"/>
      <c r="AB21" s="158"/>
      <c r="AC21" s="158"/>
      <c r="AD21" s="158"/>
      <c r="AE21" s="158"/>
      <c r="AF21" s="158"/>
      <c r="AG21" s="158"/>
      <c r="AH21" s="158"/>
      <c r="AI21" s="158"/>
      <c r="AJ21" s="158"/>
      <c r="AK21" s="158"/>
      <c r="AL21" s="158"/>
    </row>
    <row r="22" spans="1:59" s="159" customFormat="1" ht="27.75" customHeight="1">
      <c r="A22" s="150">
        <v>13</v>
      </c>
      <c r="B22" s="151" t="s">
        <v>143</v>
      </c>
      <c r="C22" s="151" t="s">
        <v>103</v>
      </c>
      <c r="D22" s="151" t="s">
        <v>144</v>
      </c>
      <c r="E22" s="151" t="s">
        <v>145</v>
      </c>
      <c r="F22" s="151" t="s">
        <v>133</v>
      </c>
      <c r="G22" s="151" t="s">
        <v>134</v>
      </c>
      <c r="H22" s="151">
        <v>4.1900000000000004</v>
      </c>
      <c r="I22" s="152">
        <f t="shared" si="2"/>
        <v>111225.64500000002</v>
      </c>
      <c r="J22" s="166">
        <v>2</v>
      </c>
      <c r="K22" s="153"/>
      <c r="L22" s="153">
        <v>2</v>
      </c>
      <c r="M22" s="153"/>
      <c r="N22" s="155">
        <f t="shared" si="0"/>
        <v>12358.405000000002</v>
      </c>
      <c r="O22" s="155">
        <f t="shared" si="1"/>
        <v>0</v>
      </c>
      <c r="P22" s="155">
        <f t="shared" si="3"/>
        <v>786.5333333333333</v>
      </c>
      <c r="Q22" s="155">
        <f t="shared" si="3"/>
        <v>0</v>
      </c>
      <c r="R22" s="155">
        <v>2</v>
      </c>
      <c r="S22" s="155">
        <f t="shared" si="4"/>
        <v>3707.5215000000007</v>
      </c>
      <c r="T22" s="155"/>
      <c r="U22" s="155"/>
      <c r="V22" s="155"/>
      <c r="W22" s="155">
        <f t="shared" si="6"/>
        <v>1235.8405000000002</v>
      </c>
      <c r="X22" s="155">
        <f t="shared" si="7"/>
        <v>18088.300333333333</v>
      </c>
      <c r="Y22" s="158"/>
      <c r="Z22" s="158"/>
      <c r="AA22" s="158"/>
      <c r="AB22" s="158"/>
      <c r="AC22" s="158"/>
      <c r="AD22" s="158"/>
      <c r="AE22" s="158"/>
      <c r="AF22" s="158"/>
      <c r="AG22" s="158"/>
      <c r="AH22" s="158"/>
      <c r="AI22" s="158"/>
      <c r="AJ22" s="158"/>
      <c r="AK22" s="158"/>
      <c r="AL22" s="158"/>
    </row>
    <row r="23" spans="1:59" s="159" customFormat="1" ht="27.75" customHeight="1">
      <c r="A23" s="150">
        <v>14</v>
      </c>
      <c r="B23" s="151" t="s">
        <v>146</v>
      </c>
      <c r="C23" s="151" t="s">
        <v>103</v>
      </c>
      <c r="D23" s="151" t="s">
        <v>147</v>
      </c>
      <c r="E23" s="151" t="s">
        <v>148</v>
      </c>
      <c r="F23" s="151" t="s">
        <v>133</v>
      </c>
      <c r="G23" s="151" t="s">
        <v>134</v>
      </c>
      <c r="H23" s="151">
        <v>4.1399999999999997</v>
      </c>
      <c r="I23" s="152">
        <f t="shared" si="2"/>
        <v>109898.36999999998</v>
      </c>
      <c r="J23" s="166">
        <v>2</v>
      </c>
      <c r="K23" s="153"/>
      <c r="L23" s="153">
        <v>2</v>
      </c>
      <c r="M23" s="153"/>
      <c r="N23" s="155">
        <f t="shared" si="0"/>
        <v>12210.929999999998</v>
      </c>
      <c r="O23" s="155">
        <f t="shared" si="1"/>
        <v>0</v>
      </c>
      <c r="P23" s="155">
        <f t="shared" si="3"/>
        <v>786.5333333333333</v>
      </c>
      <c r="Q23" s="155">
        <f t="shared" si="3"/>
        <v>0</v>
      </c>
      <c r="R23" s="155">
        <v>2</v>
      </c>
      <c r="S23" s="155">
        <f t="shared" si="4"/>
        <v>3663.2789999999995</v>
      </c>
      <c r="T23" s="155"/>
      <c r="U23" s="155"/>
      <c r="V23" s="155"/>
      <c r="W23" s="155">
        <f t="shared" si="6"/>
        <v>1221.0929999999998</v>
      </c>
      <c r="X23" s="155">
        <f t="shared" si="7"/>
        <v>17881.835333333333</v>
      </c>
      <c r="Y23" s="158"/>
      <c r="Z23" s="158"/>
      <c r="AA23" s="158"/>
      <c r="AB23" s="158"/>
      <c r="AC23" s="158"/>
      <c r="AD23" s="158"/>
      <c r="AE23" s="158"/>
      <c r="AF23" s="158"/>
      <c r="AG23" s="158"/>
      <c r="AH23" s="158"/>
      <c r="AI23" s="158"/>
      <c r="AJ23" s="158"/>
      <c r="AK23" s="158"/>
      <c r="AL23" s="158"/>
    </row>
    <row r="24" spans="1:59" s="159" customFormat="1" ht="24.75" customHeight="1">
      <c r="A24" s="150">
        <v>15</v>
      </c>
      <c r="B24" s="151" t="s">
        <v>149</v>
      </c>
      <c r="C24" s="151" t="s">
        <v>150</v>
      </c>
      <c r="D24" s="151" t="s">
        <v>151</v>
      </c>
      <c r="E24" s="151" t="s">
        <v>140</v>
      </c>
      <c r="F24" s="151" t="s">
        <v>103</v>
      </c>
      <c r="G24" s="151" t="s">
        <v>152</v>
      </c>
      <c r="H24" s="151">
        <v>4.5199999999999996</v>
      </c>
      <c r="I24" s="152">
        <f t="shared" si="2"/>
        <v>119985.65999999997</v>
      </c>
      <c r="J24" s="153">
        <v>6</v>
      </c>
      <c r="K24" s="153">
        <v>0</v>
      </c>
      <c r="L24" s="153">
        <v>6</v>
      </c>
      <c r="M24" s="153">
        <v>0</v>
      </c>
      <c r="N24" s="155">
        <f t="shared" si="0"/>
        <v>39995.219999999994</v>
      </c>
      <c r="O24" s="155">
        <f t="shared" si="1"/>
        <v>0</v>
      </c>
      <c r="P24" s="155">
        <f t="shared" si="3"/>
        <v>2359.6</v>
      </c>
      <c r="Q24" s="155">
        <f t="shared" si="3"/>
        <v>0</v>
      </c>
      <c r="R24" s="155">
        <v>6</v>
      </c>
      <c r="S24" s="155">
        <f t="shared" si="4"/>
        <v>11998.565999999997</v>
      </c>
      <c r="T24" s="155"/>
      <c r="U24" s="155"/>
      <c r="V24" s="155"/>
      <c r="W24" s="155">
        <f t="shared" si="6"/>
        <v>3999.5219999999995</v>
      </c>
      <c r="X24" s="155">
        <f t="shared" si="7"/>
        <v>58352.907999999989</v>
      </c>
      <c r="Y24" s="158"/>
      <c r="Z24" s="158"/>
      <c r="AA24" s="158"/>
      <c r="AB24" s="158"/>
      <c r="AC24" s="158"/>
      <c r="AD24" s="158"/>
      <c r="AE24" s="158"/>
      <c r="AF24" s="158"/>
      <c r="AG24" s="158"/>
      <c r="AH24" s="158"/>
      <c r="AI24" s="158"/>
      <c r="AJ24" s="158"/>
      <c r="AK24" s="158"/>
      <c r="AL24" s="158"/>
    </row>
    <row r="25" spans="1:59" s="159" customFormat="1" ht="24.75" customHeight="1">
      <c r="A25" s="150">
        <v>16</v>
      </c>
      <c r="B25" s="151" t="s">
        <v>153</v>
      </c>
      <c r="C25" s="151" t="s">
        <v>150</v>
      </c>
      <c r="D25" s="151" t="s">
        <v>154</v>
      </c>
      <c r="E25" s="151" t="s">
        <v>140</v>
      </c>
      <c r="F25" s="151" t="s">
        <v>116</v>
      </c>
      <c r="G25" s="151" t="s">
        <v>155</v>
      </c>
      <c r="H25" s="151">
        <v>4.17</v>
      </c>
      <c r="I25" s="152">
        <f t="shared" si="2"/>
        <v>110694.73500000002</v>
      </c>
      <c r="J25" s="153">
        <v>4</v>
      </c>
      <c r="K25" s="153"/>
      <c r="L25" s="153">
        <v>4</v>
      </c>
      <c r="M25" s="153"/>
      <c r="N25" s="155">
        <f t="shared" si="0"/>
        <v>24598.83</v>
      </c>
      <c r="O25" s="155">
        <f t="shared" si="1"/>
        <v>0</v>
      </c>
      <c r="P25" s="155">
        <f t="shared" si="3"/>
        <v>1573.0666666666666</v>
      </c>
      <c r="Q25" s="155">
        <f t="shared" si="3"/>
        <v>0</v>
      </c>
      <c r="R25" s="155">
        <v>4</v>
      </c>
      <c r="S25" s="155">
        <f t="shared" si="4"/>
        <v>7379.6490000000003</v>
      </c>
      <c r="T25" s="155"/>
      <c r="U25" s="155">
        <f t="shared" ref="U25" si="9">I25/18*35%*(J25+K25)</f>
        <v>8609.5905000000002</v>
      </c>
      <c r="V25" s="155"/>
      <c r="W25" s="155">
        <f t="shared" si="6"/>
        <v>2459.8830000000003</v>
      </c>
      <c r="X25" s="155">
        <f t="shared" si="7"/>
        <v>44621.019166666665</v>
      </c>
      <c r="Y25" s="158"/>
      <c r="Z25" s="158"/>
      <c r="AA25" s="158"/>
      <c r="AB25" s="158"/>
      <c r="AC25" s="158"/>
      <c r="AD25" s="158"/>
      <c r="AE25" s="158"/>
      <c r="AF25" s="158"/>
      <c r="AG25" s="158"/>
      <c r="AH25" s="158"/>
      <c r="AI25" s="158"/>
      <c r="AJ25" s="158"/>
      <c r="AK25" s="158"/>
      <c r="AL25" s="158"/>
    </row>
    <row r="26" spans="1:59" s="159" customFormat="1" ht="27.75" customHeight="1">
      <c r="A26" s="150">
        <v>17</v>
      </c>
      <c r="B26" s="150" t="s">
        <v>156</v>
      </c>
      <c r="C26" s="150" t="s">
        <v>150</v>
      </c>
      <c r="D26" s="150" t="s">
        <v>147</v>
      </c>
      <c r="E26" s="150" t="s">
        <v>129</v>
      </c>
      <c r="F26" s="150" t="s">
        <v>133</v>
      </c>
      <c r="G26" s="150" t="s">
        <v>157</v>
      </c>
      <c r="H26" s="150">
        <v>3.36</v>
      </c>
      <c r="I26" s="152">
        <f t="shared" si="2"/>
        <v>89192.88</v>
      </c>
      <c r="J26" s="153">
        <v>1</v>
      </c>
      <c r="K26" s="153">
        <v>0</v>
      </c>
      <c r="L26" s="153">
        <v>1</v>
      </c>
      <c r="M26" s="153">
        <v>0</v>
      </c>
      <c r="N26" s="155">
        <f t="shared" si="0"/>
        <v>4955.16</v>
      </c>
      <c r="O26" s="155">
        <f t="shared" si="1"/>
        <v>0</v>
      </c>
      <c r="P26" s="155">
        <f t="shared" si="3"/>
        <v>393.26666666666665</v>
      </c>
      <c r="Q26" s="155">
        <f t="shared" si="3"/>
        <v>0</v>
      </c>
      <c r="R26" s="155">
        <v>1</v>
      </c>
      <c r="S26" s="155">
        <f t="shared" si="4"/>
        <v>1486.548</v>
      </c>
      <c r="T26" s="155"/>
      <c r="U26" s="155"/>
      <c r="V26" s="155"/>
      <c r="W26" s="155">
        <f t="shared" si="6"/>
        <v>495.51600000000002</v>
      </c>
      <c r="X26" s="155">
        <f t="shared" si="7"/>
        <v>7330.4906666666657</v>
      </c>
      <c r="Y26" s="158"/>
      <c r="Z26" s="158"/>
      <c r="AA26" s="158"/>
      <c r="AB26" s="158"/>
      <c r="AC26" s="158"/>
      <c r="AD26" s="158"/>
      <c r="AE26" s="158"/>
      <c r="AF26" s="158"/>
      <c r="AG26" s="158"/>
      <c r="AH26" s="158"/>
      <c r="AI26" s="158"/>
      <c r="AJ26" s="158"/>
      <c r="AK26" s="158"/>
      <c r="AL26" s="158"/>
    </row>
    <row r="27" spans="1:59" s="172" customFormat="1" ht="27">
      <c r="A27" s="167"/>
      <c r="B27" s="168" t="s">
        <v>65</v>
      </c>
      <c r="C27" s="168"/>
      <c r="D27" s="168"/>
      <c r="E27" s="168"/>
      <c r="F27" s="168"/>
      <c r="G27" s="168"/>
      <c r="H27" s="167"/>
      <c r="I27" s="169">
        <f t="shared" ref="I27:X27" si="10">SUM(I10:I26)</f>
        <v>2084352.6600000001</v>
      </c>
      <c r="J27" s="169">
        <f t="shared" si="10"/>
        <v>24</v>
      </c>
      <c r="K27" s="169">
        <f t="shared" si="10"/>
        <v>39.5</v>
      </c>
      <c r="L27" s="169">
        <v>0</v>
      </c>
      <c r="M27" s="169">
        <f t="shared" si="10"/>
        <v>39.5</v>
      </c>
      <c r="N27" s="169">
        <f t="shared" si="10"/>
        <v>153654.20249999998</v>
      </c>
      <c r="O27" s="169">
        <f t="shared" si="10"/>
        <v>290909.18500000006</v>
      </c>
      <c r="P27" s="169">
        <f t="shared" si="10"/>
        <v>9438.3999999999978</v>
      </c>
      <c r="Q27" s="169">
        <f t="shared" si="10"/>
        <v>15730.666666666664</v>
      </c>
      <c r="R27" s="169">
        <f t="shared" si="10"/>
        <v>64</v>
      </c>
      <c r="S27" s="169">
        <f t="shared" si="10"/>
        <v>133369.01624999999</v>
      </c>
      <c r="T27" s="169">
        <f t="shared" si="10"/>
        <v>48852.568500000001</v>
      </c>
      <c r="U27" s="169">
        <f t="shared" si="10"/>
        <v>34851.292000000001</v>
      </c>
      <c r="V27" s="169">
        <f t="shared" si="10"/>
        <v>14480.570249999999</v>
      </c>
      <c r="W27" s="169">
        <f t="shared" si="10"/>
        <v>44456.33875000001</v>
      </c>
      <c r="X27" s="170">
        <f t="shared" si="10"/>
        <v>745742.23991666664</v>
      </c>
      <c r="Y27" s="171"/>
      <c r="Z27" s="171"/>
      <c r="AA27" s="171"/>
      <c r="AB27" s="171"/>
      <c r="AC27" s="171"/>
      <c r="AD27" s="171"/>
      <c r="AE27" s="171"/>
      <c r="AF27" s="171"/>
    </row>
    <row r="28" spans="1:59" s="159" customFormat="1" ht="27.75">
      <c r="A28" s="173"/>
      <c r="B28" s="173"/>
      <c r="C28" s="173"/>
      <c r="D28" s="173"/>
      <c r="E28" s="173"/>
      <c r="F28" s="173"/>
      <c r="G28" s="173"/>
      <c r="H28" s="173"/>
      <c r="I28" s="173"/>
      <c r="J28" s="173"/>
      <c r="K28" s="174"/>
      <c r="L28" s="173"/>
      <c r="M28" s="173"/>
      <c r="N28" s="175"/>
      <c r="O28" s="175"/>
      <c r="P28" s="175"/>
      <c r="Q28" s="175"/>
      <c r="R28" s="173"/>
      <c r="S28" s="173"/>
      <c r="T28" s="176"/>
      <c r="U28" s="177"/>
      <c r="V28" s="177"/>
      <c r="W28" s="177"/>
      <c r="X28" s="177"/>
      <c r="Y28" s="158"/>
      <c r="Z28" s="158"/>
      <c r="AA28" s="158"/>
      <c r="AB28" s="158"/>
      <c r="AC28" s="158"/>
    </row>
    <row r="29" spans="1:59" ht="27.75">
      <c r="A29" s="121"/>
      <c r="B29" s="120" t="s">
        <v>158</v>
      </c>
      <c r="C29" s="120"/>
      <c r="D29" s="120"/>
      <c r="E29" s="120"/>
      <c r="I29" s="178" t="s">
        <v>159</v>
      </c>
      <c r="J29" s="178"/>
      <c r="K29" s="120"/>
      <c r="L29" s="121"/>
      <c r="M29" s="121"/>
      <c r="N29" s="121"/>
      <c r="O29" s="121"/>
      <c r="P29" s="121"/>
      <c r="Q29" s="121"/>
      <c r="R29" s="121"/>
      <c r="S29" s="121"/>
      <c r="T29" s="121"/>
      <c r="U29" s="179"/>
      <c r="V29" s="180"/>
      <c r="W29" s="180"/>
      <c r="X29" s="180"/>
      <c r="Y29" s="142"/>
      <c r="Z29" s="142"/>
      <c r="AA29" s="142"/>
      <c r="AB29" s="142"/>
      <c r="AC29" s="142"/>
      <c r="AD29" s="142"/>
      <c r="AE29" s="142"/>
      <c r="AF29" s="142"/>
      <c r="AG29" s="142"/>
      <c r="AH29" s="142"/>
      <c r="AI29" s="142"/>
      <c r="AJ29" s="142"/>
      <c r="AK29" s="142"/>
      <c r="AL29" s="142"/>
      <c r="AM29" s="142"/>
      <c r="AN29" s="142"/>
      <c r="AO29" s="142"/>
      <c r="AP29" s="142"/>
      <c r="AQ29" s="142"/>
      <c r="AR29" s="142"/>
      <c r="AS29" s="142"/>
      <c r="AT29" s="142"/>
      <c r="AU29" s="142"/>
      <c r="AV29" s="142"/>
      <c r="AW29" s="142"/>
      <c r="AX29" s="142"/>
      <c r="AY29" s="142"/>
      <c r="AZ29" s="142"/>
      <c r="BA29" s="142"/>
      <c r="BB29" s="142"/>
      <c r="BC29" s="142"/>
      <c r="BD29" s="142"/>
      <c r="BE29" s="142"/>
      <c r="BF29" s="142"/>
      <c r="BG29" s="142"/>
    </row>
    <row r="30" spans="1:59" ht="27.75">
      <c r="A30" s="121"/>
      <c r="B30" s="120" t="s">
        <v>160</v>
      </c>
      <c r="C30" s="120"/>
      <c r="D30" s="120"/>
      <c r="E30" s="120"/>
      <c r="I30" s="178" t="s">
        <v>161</v>
      </c>
      <c r="J30" s="178"/>
      <c r="K30" s="120"/>
      <c r="L30" s="121"/>
      <c r="M30" s="121"/>
      <c r="N30" s="121"/>
      <c r="O30" s="121"/>
      <c r="P30" s="121"/>
      <c r="Q30" s="121"/>
      <c r="R30" s="121"/>
      <c r="S30" s="121"/>
      <c r="T30" s="121"/>
      <c r="U30" s="121"/>
    </row>
  </sheetData>
  <mergeCells count="15">
    <mergeCell ref="V8:V9"/>
    <mergeCell ref="W8:W9"/>
    <mergeCell ref="X8:X9"/>
    <mergeCell ref="H8:H9"/>
    <mergeCell ref="I8:I9"/>
    <mergeCell ref="N8:O8"/>
    <mergeCell ref="R8:S8"/>
    <mergeCell ref="T8:T9"/>
    <mergeCell ref="U8:U9"/>
    <mergeCell ref="A8:A9"/>
    <mergeCell ref="C8:C9"/>
    <mergeCell ref="D8:D9"/>
    <mergeCell ref="E8:E9"/>
    <mergeCell ref="F8:F9"/>
    <mergeCell ref="G8:G9"/>
  </mergeCells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BO143"/>
  <sheetViews>
    <sheetView zoomScale="13" zoomScaleNormal="13" workbookViewId="0">
      <selection activeCell="Z6" sqref="Z6"/>
    </sheetView>
  </sheetViews>
  <sheetFormatPr defaultColWidth="16.28515625" defaultRowHeight="15" customHeight="1"/>
  <cols>
    <col min="1" max="1" width="125.85546875" style="313" customWidth="1"/>
    <col min="2" max="2" width="66.140625" style="313" customWidth="1"/>
    <col min="3" max="3" width="80.85546875" style="313" customWidth="1"/>
    <col min="4" max="4" width="51.28515625" style="313" customWidth="1"/>
    <col min="5" max="5" width="54.85546875" style="313" customWidth="1"/>
    <col min="6" max="6" width="30.85546875" style="313" customWidth="1"/>
    <col min="7" max="7" width="38.85546875" style="313" customWidth="1"/>
    <col min="8" max="8" width="59.85546875" style="313" customWidth="1"/>
    <col min="9" max="9" width="31.85546875" style="313" customWidth="1"/>
    <col min="10" max="10" width="37.85546875" style="313" customWidth="1"/>
    <col min="11" max="11" width="49.7109375" style="313" customWidth="1"/>
    <col min="12" max="12" width="53.7109375" style="313" customWidth="1"/>
    <col min="13" max="13" width="52.42578125" style="313" customWidth="1"/>
    <col min="14" max="14" width="57.5703125" style="313" customWidth="1"/>
    <col min="15" max="15" width="50.42578125" style="313" customWidth="1"/>
    <col min="16" max="16" width="45" style="313" customWidth="1"/>
    <col min="17" max="17" width="47.42578125" style="313" customWidth="1"/>
    <col min="18" max="18" width="63" style="313" customWidth="1"/>
    <col min="19" max="19" width="30.28515625" style="313" customWidth="1"/>
    <col min="20" max="20" width="30.7109375" style="313" customWidth="1"/>
    <col min="21" max="21" width="29.42578125" style="313" customWidth="1"/>
    <col min="22" max="22" width="30" style="313" customWidth="1"/>
    <col min="23" max="23" width="34.7109375" style="313" customWidth="1"/>
    <col min="24" max="24" width="30.42578125" style="313" customWidth="1"/>
    <col min="25" max="26" width="30.85546875" style="313" customWidth="1"/>
    <col min="27" max="27" width="32.85546875" style="313" customWidth="1"/>
    <col min="28" max="28" width="31.140625" style="313" customWidth="1"/>
    <col min="29" max="29" width="39.7109375" style="313" customWidth="1"/>
    <col min="30" max="30" width="46.5703125" style="313" customWidth="1"/>
    <col min="31" max="31" width="40.85546875" style="313" customWidth="1"/>
    <col min="32" max="32" width="42.140625" style="313" customWidth="1"/>
    <col min="33" max="33" width="39.7109375" style="313" customWidth="1"/>
    <col min="34" max="34" width="40.140625" style="313" customWidth="1"/>
    <col min="35" max="35" width="33" style="313" customWidth="1"/>
    <col min="36" max="36" width="40.28515625" style="313" customWidth="1"/>
    <col min="37" max="37" width="34.7109375" style="313" customWidth="1"/>
    <col min="38" max="39" width="34.42578125" style="313" customWidth="1"/>
    <col min="40" max="40" width="44.5703125" style="313" customWidth="1"/>
    <col min="41" max="41" width="36.85546875" style="313" customWidth="1"/>
    <col min="42" max="42" width="48" style="313" customWidth="1"/>
    <col min="43" max="43" width="20.5703125" style="313" hidden="1" customWidth="1"/>
    <col min="44" max="44" width="45.28515625" style="313" hidden="1" customWidth="1"/>
    <col min="45" max="45" width="51.5703125" style="313" customWidth="1"/>
    <col min="46" max="46" width="53.5703125" style="313" customWidth="1"/>
    <col min="47" max="47" width="50.140625" style="313" customWidth="1"/>
    <col min="48" max="48" width="45" style="313" customWidth="1"/>
    <col min="49" max="49" width="23.140625" style="313" customWidth="1"/>
    <col min="50" max="50" width="29.28515625" style="314" customWidth="1"/>
    <col min="51" max="51" width="46.85546875" style="313" customWidth="1"/>
    <col min="52" max="52" width="26.28515625" style="313" customWidth="1"/>
    <col min="53" max="53" width="18.7109375" style="313" customWidth="1"/>
    <col min="54" max="54" width="46.85546875" style="313" customWidth="1"/>
    <col min="55" max="55" width="34.85546875" style="313" customWidth="1"/>
    <col min="56" max="56" width="22.28515625" style="313" customWidth="1"/>
    <col min="57" max="57" width="52.28515625" style="313" customWidth="1"/>
    <col min="58" max="58" width="45.140625" style="313" customWidth="1"/>
    <col min="59" max="59" width="53.42578125" style="313" customWidth="1"/>
    <col min="60" max="60" width="34.7109375" style="313" customWidth="1"/>
    <col min="61" max="61" width="44.85546875" style="313" customWidth="1"/>
    <col min="62" max="62" width="32" style="313" customWidth="1"/>
    <col min="63" max="63" width="38.42578125" style="313" customWidth="1"/>
    <col min="64" max="64" width="54.42578125" style="313" customWidth="1"/>
    <col min="65" max="65" width="67.7109375" style="313" customWidth="1"/>
    <col min="66" max="67" width="16.28515625" style="183"/>
    <col min="68" max="16384" width="16.28515625" style="184"/>
  </cols>
  <sheetData>
    <row r="1" spans="1:67" s="186" customFormat="1" ht="21" customHeight="1">
      <c r="A1" s="182"/>
      <c r="B1" s="182"/>
      <c r="C1" s="182"/>
      <c r="D1" s="182"/>
      <c r="E1" s="182"/>
      <c r="F1" s="182"/>
      <c r="G1" s="182"/>
      <c r="H1" s="182"/>
      <c r="I1" s="182"/>
      <c r="J1" s="182"/>
      <c r="K1" s="182"/>
      <c r="L1" s="182"/>
      <c r="M1" s="182"/>
      <c r="N1" s="182"/>
      <c r="O1" s="182"/>
      <c r="P1" s="182"/>
      <c r="Q1" s="182"/>
      <c r="R1" s="182"/>
      <c r="S1" s="183"/>
      <c r="T1" s="183"/>
      <c r="U1" s="183"/>
      <c r="V1" s="183"/>
      <c r="W1" s="183"/>
      <c r="X1" s="183"/>
      <c r="Y1" s="183"/>
      <c r="Z1" s="183"/>
      <c r="AA1" s="183"/>
      <c r="AB1" s="184"/>
      <c r="AC1" s="183"/>
      <c r="AD1" s="183"/>
      <c r="AE1" s="183"/>
      <c r="AF1" s="183"/>
      <c r="AG1" s="183"/>
      <c r="AH1" s="183"/>
      <c r="AI1" s="183"/>
      <c r="AJ1" s="183"/>
      <c r="AK1" s="183"/>
      <c r="AL1" s="182"/>
      <c r="AM1" s="182"/>
      <c r="AN1" s="182"/>
      <c r="AO1" s="182"/>
      <c r="AP1" s="182"/>
      <c r="AQ1" s="182"/>
      <c r="AR1" s="182"/>
      <c r="AS1" s="182"/>
      <c r="AT1" s="182"/>
      <c r="AU1" s="182"/>
      <c r="AV1" s="182"/>
      <c r="AW1" s="182"/>
      <c r="AX1" s="185"/>
      <c r="AY1" s="182"/>
      <c r="AZ1" s="182"/>
      <c r="BA1" s="182"/>
      <c r="BB1" s="182"/>
      <c r="BC1" s="182"/>
      <c r="BD1" s="182"/>
      <c r="BE1" s="182"/>
      <c r="BF1" s="182"/>
      <c r="BG1" s="182"/>
      <c r="BH1" s="182"/>
      <c r="BI1" s="182"/>
      <c r="BJ1" s="182"/>
      <c r="BK1" s="182"/>
      <c r="BL1" s="182"/>
      <c r="BM1" s="182"/>
      <c r="BN1" s="182"/>
      <c r="BO1" s="182"/>
    </row>
    <row r="2" spans="1:67" s="186" customFormat="1" ht="106.5" customHeight="1">
      <c r="A2" s="182"/>
      <c r="B2" s="187" t="s">
        <v>72</v>
      </c>
      <c r="C2" s="187"/>
      <c r="D2" s="187"/>
      <c r="E2" s="187"/>
      <c r="F2" s="188"/>
      <c r="G2" s="188"/>
      <c r="H2" s="188"/>
      <c r="I2" s="188"/>
      <c r="J2" s="188"/>
      <c r="K2" s="188"/>
      <c r="L2" s="188"/>
      <c r="M2" s="188"/>
      <c r="N2" s="188"/>
      <c r="O2" s="188"/>
      <c r="P2" s="188" t="s">
        <v>162</v>
      </c>
      <c r="Q2" s="188"/>
      <c r="R2" s="188"/>
      <c r="S2" s="189"/>
      <c r="T2" s="189"/>
      <c r="U2" s="189"/>
      <c r="V2" s="189"/>
      <c r="W2" s="189"/>
      <c r="X2" s="189"/>
      <c r="Y2" s="183"/>
      <c r="Z2" s="183"/>
      <c r="AA2" s="183"/>
      <c r="AB2" s="183"/>
      <c r="AC2" s="183"/>
      <c r="AD2" s="183"/>
      <c r="AE2" s="183"/>
      <c r="AF2" s="183"/>
      <c r="AG2" s="183"/>
      <c r="AH2" s="190"/>
      <c r="AI2" s="183"/>
      <c r="AJ2" s="184"/>
      <c r="AK2" s="183"/>
      <c r="AL2" s="182"/>
      <c r="AM2" s="182"/>
      <c r="AN2" s="182"/>
      <c r="AO2" s="182"/>
      <c r="AP2" s="182"/>
      <c r="AQ2" s="182"/>
      <c r="AR2" s="182"/>
      <c r="AS2" s="191"/>
      <c r="AU2" s="182"/>
      <c r="AV2" s="182"/>
      <c r="AW2" s="182"/>
      <c r="AX2" s="182"/>
      <c r="AY2" s="182"/>
      <c r="AZ2" s="182"/>
      <c r="BA2" s="182"/>
      <c r="BB2" s="182"/>
      <c r="BC2" s="188"/>
      <c r="BD2" s="182"/>
      <c r="BE2" s="182"/>
      <c r="BF2" s="182"/>
      <c r="BG2" s="182"/>
      <c r="BH2" s="182"/>
      <c r="BI2" s="182"/>
      <c r="BJ2" s="182"/>
      <c r="BK2" s="182"/>
      <c r="BL2" s="182"/>
      <c r="BM2" s="182"/>
      <c r="BN2" s="182"/>
      <c r="BO2" s="182"/>
    </row>
    <row r="3" spans="1:67" s="186" customFormat="1" ht="67.5" customHeight="1">
      <c r="A3" s="182"/>
      <c r="B3" s="187" t="s">
        <v>163</v>
      </c>
      <c r="C3" s="187"/>
      <c r="D3" s="187"/>
      <c r="E3" s="187"/>
      <c r="F3" s="188"/>
      <c r="G3" s="188"/>
      <c r="H3" s="188"/>
      <c r="I3" s="188"/>
      <c r="J3" s="188"/>
      <c r="K3" s="188"/>
      <c r="L3" s="188"/>
      <c r="M3" s="188"/>
      <c r="N3" s="188"/>
      <c r="O3" s="188"/>
      <c r="P3" s="188" t="s">
        <v>164</v>
      </c>
      <c r="Q3" s="188"/>
      <c r="R3" s="188"/>
      <c r="S3" s="189"/>
      <c r="T3" s="189"/>
      <c r="U3" s="189"/>
      <c r="V3" s="189"/>
      <c r="W3" s="189"/>
      <c r="X3" s="189"/>
      <c r="Y3" s="183"/>
      <c r="Z3" s="183"/>
      <c r="AA3" s="183"/>
      <c r="AB3" s="183"/>
      <c r="AC3" s="183"/>
      <c r="AD3" s="183"/>
      <c r="AE3" s="183"/>
      <c r="AF3" s="183"/>
      <c r="AG3" s="183"/>
      <c r="AH3" s="190"/>
      <c r="AI3" s="183"/>
      <c r="AJ3" s="183"/>
      <c r="AK3" s="183"/>
      <c r="AL3" s="182"/>
      <c r="AM3" s="182"/>
      <c r="AN3" s="182"/>
      <c r="AO3" s="182"/>
      <c r="AP3" s="182"/>
      <c r="AQ3" s="182"/>
      <c r="AR3" s="182"/>
      <c r="AS3" s="191"/>
      <c r="AT3" s="182"/>
      <c r="AU3" s="182"/>
      <c r="AV3" s="182"/>
      <c r="AW3" s="182"/>
      <c r="AX3" s="182"/>
      <c r="AY3" s="182"/>
      <c r="AZ3" s="182"/>
      <c r="BA3" s="182"/>
      <c r="BB3" s="182"/>
      <c r="BC3" s="182"/>
      <c r="BD3" s="182"/>
      <c r="BE3" s="182"/>
      <c r="BF3" s="182"/>
      <c r="BG3" s="182"/>
      <c r="BH3" s="182"/>
      <c r="BI3" s="182"/>
      <c r="BJ3" s="182"/>
      <c r="BK3" s="182"/>
      <c r="BL3" s="182"/>
      <c r="BM3" s="182"/>
      <c r="BN3" s="182"/>
      <c r="BO3" s="182"/>
    </row>
    <row r="4" spans="1:67" s="186" customFormat="1" ht="69" customHeight="1">
      <c r="A4" s="182"/>
      <c r="B4" s="187" t="s">
        <v>76</v>
      </c>
      <c r="C4" s="187"/>
      <c r="D4" s="187"/>
      <c r="E4" s="187"/>
      <c r="F4" s="188"/>
      <c r="G4" s="188"/>
      <c r="H4" s="188"/>
      <c r="I4" s="188"/>
      <c r="J4" s="188"/>
      <c r="K4" s="188"/>
      <c r="L4" s="188"/>
      <c r="M4" s="188"/>
      <c r="N4" s="188"/>
      <c r="O4" s="188"/>
      <c r="P4" s="188"/>
      <c r="Q4" s="188" t="s">
        <v>165</v>
      </c>
      <c r="R4" s="188"/>
      <c r="S4" s="189"/>
      <c r="T4" s="189"/>
      <c r="U4" s="189"/>
      <c r="V4" s="189"/>
      <c r="W4" s="189"/>
      <c r="X4" s="189"/>
      <c r="Y4" s="183"/>
      <c r="Z4" s="183"/>
      <c r="AA4" s="183"/>
      <c r="AB4" s="183"/>
      <c r="AC4" s="183"/>
      <c r="AD4" s="183"/>
      <c r="AE4" s="183"/>
      <c r="AF4" s="183"/>
      <c r="AG4" s="183"/>
      <c r="AH4" s="190"/>
      <c r="AI4" s="183"/>
      <c r="AJ4" s="183"/>
      <c r="AK4" s="183"/>
      <c r="AL4" s="182"/>
      <c r="AM4" s="182"/>
      <c r="AN4" s="182"/>
      <c r="AO4" s="182"/>
      <c r="AP4" s="182"/>
      <c r="AQ4" s="182"/>
      <c r="AR4" s="182"/>
      <c r="AS4" s="191"/>
      <c r="AT4" s="182"/>
      <c r="AU4" s="182"/>
      <c r="AV4" s="182"/>
      <c r="AW4" s="182"/>
      <c r="AX4" s="182"/>
      <c r="AY4" s="182"/>
      <c r="AZ4" s="182"/>
      <c r="BA4" s="182"/>
      <c r="BB4" s="182"/>
      <c r="BC4" s="182"/>
      <c r="BD4" s="182"/>
      <c r="BE4" s="182"/>
      <c r="BF4" s="182"/>
      <c r="BG4" s="182"/>
      <c r="BH4" s="182"/>
      <c r="BI4" s="182"/>
      <c r="BJ4" s="182"/>
      <c r="BK4" s="182"/>
      <c r="BL4" s="182"/>
      <c r="BM4" s="182"/>
      <c r="BN4" s="182"/>
      <c r="BO4" s="182"/>
    </row>
    <row r="5" spans="1:67" s="186" customFormat="1" ht="25.5" customHeight="1">
      <c r="A5" s="182"/>
      <c r="B5" s="188"/>
      <c r="C5" s="188"/>
      <c r="D5" s="188"/>
      <c r="E5" s="188"/>
      <c r="F5" s="188"/>
      <c r="G5" s="188"/>
      <c r="H5" s="188"/>
      <c r="I5" s="188"/>
      <c r="J5" s="188"/>
      <c r="K5" s="188"/>
      <c r="L5" s="188"/>
      <c r="M5" s="188"/>
      <c r="N5" s="188"/>
      <c r="O5" s="188"/>
      <c r="P5" s="188"/>
      <c r="Q5" s="188"/>
      <c r="R5" s="188"/>
      <c r="S5" s="189"/>
      <c r="T5" s="189"/>
      <c r="U5" s="189"/>
      <c r="V5" s="189"/>
      <c r="W5" s="189"/>
      <c r="X5" s="189"/>
      <c r="Y5" s="183"/>
      <c r="Z5" s="183"/>
      <c r="AA5" s="183"/>
      <c r="AB5" s="183"/>
      <c r="AC5" s="183"/>
      <c r="AD5" s="183"/>
      <c r="AE5" s="183"/>
      <c r="AF5" s="183"/>
      <c r="AG5" s="183"/>
      <c r="AH5" s="183"/>
      <c r="AI5" s="183"/>
      <c r="AJ5" s="183"/>
      <c r="AK5" s="183"/>
      <c r="AL5" s="182"/>
      <c r="AM5" s="182"/>
      <c r="AN5" s="182"/>
      <c r="AO5" s="182"/>
      <c r="AP5" s="182"/>
      <c r="AQ5" s="182"/>
      <c r="AR5" s="191"/>
      <c r="AS5" s="191"/>
      <c r="AT5" s="191"/>
      <c r="AU5" s="191"/>
      <c r="AV5" s="191"/>
      <c r="AW5" s="191"/>
      <c r="AX5" s="191"/>
      <c r="AY5" s="191"/>
      <c r="AZ5" s="191"/>
      <c r="BA5" s="182"/>
      <c r="BB5" s="182"/>
      <c r="BC5" s="182"/>
      <c r="BD5" s="182"/>
      <c r="BE5" s="182"/>
      <c r="BF5" s="182"/>
      <c r="BG5" s="182"/>
      <c r="BH5" s="182"/>
      <c r="BI5" s="182"/>
      <c r="BJ5" s="182"/>
      <c r="BK5" s="182"/>
      <c r="BL5" s="182"/>
      <c r="BM5" s="182"/>
      <c r="BN5" s="182"/>
      <c r="BO5" s="182"/>
    </row>
    <row r="6" spans="1:67" s="186" customFormat="1" ht="68.25" customHeight="1">
      <c r="A6" s="182"/>
      <c r="B6" s="188"/>
      <c r="C6" s="188"/>
      <c r="D6" s="188"/>
      <c r="E6" s="188"/>
      <c r="F6" s="188"/>
      <c r="G6" s="188"/>
      <c r="H6" s="188"/>
      <c r="I6" s="188"/>
      <c r="J6" s="188"/>
      <c r="K6" s="188"/>
      <c r="L6" s="188"/>
      <c r="M6" s="188"/>
      <c r="N6" s="188"/>
      <c r="O6" s="188"/>
      <c r="P6" s="188" t="s">
        <v>166</v>
      </c>
      <c r="Q6" s="188"/>
      <c r="R6" s="188"/>
      <c r="S6" s="189"/>
      <c r="T6" s="189"/>
      <c r="U6" s="189"/>
      <c r="V6" s="189"/>
      <c r="W6" s="189"/>
      <c r="X6" s="189"/>
      <c r="Y6" s="189"/>
      <c r="Z6" s="183"/>
      <c r="AA6" s="183"/>
      <c r="AB6" s="183"/>
      <c r="AC6" s="183"/>
      <c r="AD6" s="183"/>
      <c r="AE6" s="183"/>
      <c r="AF6" s="183"/>
      <c r="AG6" s="183"/>
      <c r="AH6" s="183"/>
      <c r="AI6" s="183"/>
      <c r="AJ6" s="183"/>
      <c r="AK6" s="183"/>
      <c r="AL6" s="182"/>
      <c r="AM6" s="182"/>
      <c r="AN6" s="182"/>
      <c r="AO6" s="182"/>
      <c r="AP6" s="182"/>
      <c r="AQ6" s="182"/>
      <c r="AR6" s="182"/>
      <c r="AS6" s="182"/>
      <c r="AT6" s="182"/>
      <c r="AU6" s="182"/>
      <c r="AV6" s="182"/>
      <c r="AW6" s="182"/>
      <c r="AX6" s="185"/>
      <c r="AY6" s="182"/>
      <c r="AZ6" s="182"/>
      <c r="BA6" s="182"/>
      <c r="BB6" s="182"/>
      <c r="BC6" s="182"/>
      <c r="BD6" s="182"/>
      <c r="BE6" s="182"/>
      <c r="BF6" s="182"/>
      <c r="BG6" s="182"/>
      <c r="BH6" s="182"/>
      <c r="BI6" s="182"/>
      <c r="BJ6" s="182"/>
      <c r="BK6" s="182"/>
      <c r="BL6" s="182"/>
      <c r="BM6" s="182"/>
      <c r="BN6" s="182"/>
      <c r="BO6" s="182"/>
    </row>
    <row r="7" spans="1:67" s="186" customFormat="1" ht="82.5" customHeight="1">
      <c r="A7" s="182"/>
      <c r="B7" s="188"/>
      <c r="C7" s="188"/>
      <c r="D7" s="188"/>
      <c r="E7" s="188"/>
      <c r="F7" s="188"/>
      <c r="G7" s="188"/>
      <c r="H7" s="188"/>
      <c r="I7" s="188"/>
      <c r="J7" s="188"/>
      <c r="K7" s="188"/>
      <c r="L7" s="188"/>
      <c r="M7" s="188"/>
      <c r="N7" s="188"/>
      <c r="O7" s="188"/>
      <c r="P7" s="188" t="s">
        <v>167</v>
      </c>
      <c r="Q7" s="188"/>
      <c r="R7" s="188"/>
      <c r="S7" s="189"/>
      <c r="T7" s="189"/>
      <c r="U7" s="189"/>
      <c r="V7" s="189"/>
      <c r="W7" s="189"/>
      <c r="X7" s="189"/>
      <c r="Y7" s="189"/>
      <c r="Z7" s="183"/>
      <c r="AA7" s="183"/>
      <c r="AB7" s="183"/>
      <c r="AC7" s="183"/>
      <c r="AD7" s="183"/>
      <c r="AE7" s="183"/>
      <c r="AF7" s="183"/>
      <c r="AG7" s="183"/>
      <c r="AH7" s="183"/>
      <c r="AI7" s="183"/>
      <c r="AJ7" s="183"/>
      <c r="AK7" s="183"/>
      <c r="AL7" s="182"/>
      <c r="AM7" s="182"/>
      <c r="AN7" s="182"/>
      <c r="AO7" s="182"/>
      <c r="AP7" s="182"/>
      <c r="AQ7" s="182"/>
      <c r="AR7" s="182"/>
      <c r="AS7" s="182"/>
      <c r="AT7" s="182"/>
      <c r="AU7" s="182"/>
      <c r="AV7" s="182"/>
      <c r="AW7" s="182"/>
      <c r="AX7" s="185"/>
      <c r="AY7" s="182"/>
      <c r="AZ7" s="182"/>
      <c r="BA7" s="182"/>
      <c r="BB7" s="182"/>
      <c r="BC7" s="182"/>
      <c r="BD7" s="182"/>
      <c r="BE7" s="182"/>
      <c r="BF7" s="182"/>
      <c r="BG7" s="182"/>
      <c r="BH7" s="182"/>
      <c r="BI7" s="182"/>
      <c r="BJ7" s="182"/>
      <c r="BK7" s="182"/>
      <c r="BL7" s="182"/>
      <c r="BM7" s="182"/>
      <c r="BN7" s="182"/>
      <c r="BO7" s="182"/>
    </row>
    <row r="8" spans="1:67" s="186" customFormat="1" ht="20.25" customHeight="1" thickBot="1">
      <c r="A8" s="182"/>
      <c r="B8" s="188"/>
      <c r="C8" s="188"/>
      <c r="D8" s="188"/>
      <c r="E8" s="188"/>
      <c r="F8" s="188"/>
      <c r="G8" s="188"/>
      <c r="H8" s="188"/>
      <c r="I8" s="188"/>
      <c r="J8" s="188"/>
      <c r="K8" s="188"/>
      <c r="L8" s="188"/>
      <c r="M8" s="188"/>
      <c r="N8" s="188"/>
      <c r="O8" s="188"/>
      <c r="P8" s="188"/>
      <c r="Q8" s="188"/>
      <c r="R8" s="188"/>
      <c r="S8" s="189"/>
      <c r="T8" s="189"/>
      <c r="U8" s="189"/>
      <c r="V8" s="189"/>
      <c r="W8" s="183"/>
      <c r="X8" s="183"/>
      <c r="Y8" s="183"/>
      <c r="Z8" s="183"/>
      <c r="AA8" s="183"/>
      <c r="AB8" s="183"/>
      <c r="AC8" s="183"/>
      <c r="AD8" s="183"/>
      <c r="AE8" s="183"/>
      <c r="AF8" s="183"/>
      <c r="AG8" s="183"/>
      <c r="AH8" s="183"/>
      <c r="AI8" s="183"/>
      <c r="AJ8" s="183"/>
      <c r="AK8" s="183"/>
      <c r="AL8" s="182"/>
      <c r="AM8" s="182"/>
      <c r="AN8" s="182"/>
      <c r="AO8" s="182"/>
      <c r="AP8" s="182"/>
      <c r="AQ8" s="182"/>
      <c r="AR8" s="182"/>
      <c r="AS8" s="182"/>
      <c r="AT8" s="182"/>
      <c r="AU8" s="182"/>
      <c r="AV8" s="182"/>
      <c r="AW8" s="182"/>
      <c r="AX8" s="185"/>
      <c r="AY8" s="182"/>
      <c r="AZ8" s="182"/>
      <c r="BA8" s="182"/>
      <c r="BB8" s="182"/>
      <c r="BC8" s="182"/>
      <c r="BD8" s="182"/>
      <c r="BE8" s="182"/>
      <c r="BF8" s="182"/>
      <c r="BG8" s="182"/>
      <c r="BH8" s="182"/>
      <c r="BI8" s="182"/>
      <c r="BJ8" s="182"/>
      <c r="BK8" s="182"/>
      <c r="BL8" s="182"/>
      <c r="BM8" s="182"/>
      <c r="BN8" s="182"/>
      <c r="BO8" s="182"/>
    </row>
    <row r="9" spans="1:67" s="186" customFormat="1" ht="111.75" customHeight="1">
      <c r="A9" s="192" t="s">
        <v>81</v>
      </c>
      <c r="B9" s="192"/>
      <c r="C9" s="193" t="s">
        <v>168</v>
      </c>
      <c r="D9" s="192"/>
      <c r="E9" s="192" t="s">
        <v>169</v>
      </c>
      <c r="F9" s="192"/>
      <c r="G9" s="194" t="s">
        <v>87</v>
      </c>
      <c r="H9" s="194" t="s">
        <v>170</v>
      </c>
      <c r="I9" s="195" t="s">
        <v>171</v>
      </c>
      <c r="J9" s="196"/>
      <c r="K9" s="197"/>
      <c r="L9" s="195" t="s">
        <v>172</v>
      </c>
      <c r="M9" s="196"/>
      <c r="N9" s="197"/>
      <c r="O9" s="192" t="s">
        <v>173</v>
      </c>
      <c r="P9" s="198" t="s">
        <v>174</v>
      </c>
      <c r="Q9" s="199"/>
      <c r="R9" s="200"/>
      <c r="S9" s="201" t="s">
        <v>175</v>
      </c>
      <c r="T9" s="202"/>
      <c r="U9" s="202"/>
      <c r="V9" s="202"/>
      <c r="W9" s="202"/>
      <c r="X9" s="202"/>
      <c r="Y9" s="202"/>
      <c r="Z9" s="202"/>
      <c r="AA9" s="202"/>
      <c r="AB9" s="203"/>
      <c r="AC9" s="204" t="s">
        <v>176</v>
      </c>
      <c r="AD9" s="205"/>
      <c r="AE9" s="205"/>
      <c r="AF9" s="205"/>
      <c r="AG9" s="205"/>
      <c r="AH9" s="205"/>
      <c r="AI9" s="205"/>
      <c r="AJ9" s="205"/>
      <c r="AK9" s="206"/>
      <c r="AL9" s="207"/>
      <c r="AM9" s="204" t="s">
        <v>177</v>
      </c>
      <c r="AN9" s="208"/>
      <c r="AO9" s="204" t="s">
        <v>178</v>
      </c>
      <c r="AP9" s="208"/>
      <c r="AQ9" s="204" t="s">
        <v>179</v>
      </c>
      <c r="AR9" s="208"/>
      <c r="AS9" s="209" t="s">
        <v>180</v>
      </c>
      <c r="AT9" s="208"/>
      <c r="AU9" s="205" t="s">
        <v>181</v>
      </c>
      <c r="AV9" s="205"/>
      <c r="AW9" s="204" t="s">
        <v>182</v>
      </c>
      <c r="AX9" s="210"/>
      <c r="AY9" s="208"/>
      <c r="AZ9" s="211" t="s">
        <v>183</v>
      </c>
      <c r="BA9" s="206"/>
      <c r="BB9" s="212"/>
      <c r="BC9" s="213" t="s">
        <v>184</v>
      </c>
      <c r="BD9" s="214"/>
      <c r="BE9" s="215"/>
      <c r="BF9" s="216" t="s">
        <v>93</v>
      </c>
      <c r="BG9" s="217"/>
      <c r="BH9" s="213" t="s">
        <v>185</v>
      </c>
      <c r="BI9" s="215"/>
      <c r="BJ9" s="218" t="s">
        <v>186</v>
      </c>
      <c r="BK9" s="219" t="s">
        <v>187</v>
      </c>
      <c r="BL9" s="219"/>
      <c r="BM9" s="218" t="s">
        <v>188</v>
      </c>
      <c r="BN9" s="182"/>
      <c r="BO9" s="182"/>
    </row>
    <row r="10" spans="1:67" s="186" customFormat="1" ht="79.5" customHeight="1">
      <c r="A10" s="220" t="s">
        <v>97</v>
      </c>
      <c r="B10" s="220" t="s">
        <v>82</v>
      </c>
      <c r="C10" s="221"/>
      <c r="D10" s="220" t="s">
        <v>84</v>
      </c>
      <c r="E10" s="220" t="s">
        <v>189</v>
      </c>
      <c r="F10" s="220" t="s">
        <v>86</v>
      </c>
      <c r="G10" s="222"/>
      <c r="H10" s="222"/>
      <c r="I10" s="223" t="s">
        <v>190</v>
      </c>
      <c r="J10" s="223" t="s">
        <v>191</v>
      </c>
      <c r="K10" s="223" t="s">
        <v>192</v>
      </c>
      <c r="L10" s="223" t="s">
        <v>190</v>
      </c>
      <c r="M10" s="223" t="s">
        <v>191</v>
      </c>
      <c r="N10" s="223" t="s">
        <v>192</v>
      </c>
      <c r="O10" s="220" t="s">
        <v>193</v>
      </c>
      <c r="P10" s="223" t="s">
        <v>190</v>
      </c>
      <c r="Q10" s="223" t="s">
        <v>191</v>
      </c>
      <c r="R10" s="223" t="s">
        <v>192</v>
      </c>
      <c r="S10" s="224" t="s">
        <v>194</v>
      </c>
      <c r="T10" s="208"/>
      <c r="U10" s="225"/>
      <c r="V10" s="226" t="s">
        <v>195</v>
      </c>
      <c r="W10" s="205"/>
      <c r="X10" s="208"/>
      <c r="Y10" s="204"/>
      <c r="Z10" s="205" t="s">
        <v>196</v>
      </c>
      <c r="AA10" s="205"/>
      <c r="AB10" s="208"/>
      <c r="AC10" s="227" t="s">
        <v>194</v>
      </c>
      <c r="AD10" s="228"/>
      <c r="AE10" s="229"/>
      <c r="AF10" s="226" t="s">
        <v>195</v>
      </c>
      <c r="AG10" s="205"/>
      <c r="AH10" s="208"/>
      <c r="AI10" s="204"/>
      <c r="AJ10" s="205" t="s">
        <v>196</v>
      </c>
      <c r="AK10" s="205"/>
      <c r="AL10" s="197"/>
      <c r="AM10" s="230" t="s">
        <v>197</v>
      </c>
      <c r="AN10" s="230" t="s">
        <v>198</v>
      </c>
      <c r="AO10" s="230" t="s">
        <v>199</v>
      </c>
      <c r="AP10" s="230" t="s">
        <v>187</v>
      </c>
      <c r="AQ10" s="230" t="s">
        <v>200</v>
      </c>
      <c r="AR10" s="230" t="s">
        <v>187</v>
      </c>
      <c r="AS10" s="231"/>
      <c r="AT10" s="232" t="s">
        <v>187</v>
      </c>
      <c r="AU10" s="233" t="s">
        <v>201</v>
      </c>
      <c r="AV10" s="234" t="s">
        <v>187</v>
      </c>
      <c r="AW10" s="230" t="s">
        <v>200</v>
      </c>
      <c r="AX10" s="235" t="s">
        <v>199</v>
      </c>
      <c r="AY10" s="230" t="s">
        <v>187</v>
      </c>
      <c r="AZ10" s="236" t="s">
        <v>199</v>
      </c>
      <c r="BA10" s="230" t="s">
        <v>200</v>
      </c>
      <c r="BB10" s="230" t="s">
        <v>187</v>
      </c>
      <c r="BC10" s="236" t="s">
        <v>199</v>
      </c>
      <c r="BD10" s="230" t="s">
        <v>200</v>
      </c>
      <c r="BE10" s="230" t="s">
        <v>187</v>
      </c>
      <c r="BF10" s="230" t="s">
        <v>199</v>
      </c>
      <c r="BG10" s="230" t="s">
        <v>187</v>
      </c>
      <c r="BH10" s="237" t="s">
        <v>202</v>
      </c>
      <c r="BI10" s="238" t="s">
        <v>187</v>
      </c>
      <c r="BJ10" s="239"/>
      <c r="BK10" s="240" t="s">
        <v>101</v>
      </c>
      <c r="BL10" s="241">
        <v>0.1</v>
      </c>
      <c r="BM10" s="239"/>
      <c r="BN10" s="182"/>
      <c r="BO10" s="182"/>
    </row>
    <row r="11" spans="1:67" s="186" customFormat="1" ht="259.5" customHeight="1">
      <c r="A11" s="242"/>
      <c r="B11" s="242"/>
      <c r="C11" s="221"/>
      <c r="D11" s="242"/>
      <c r="E11" s="242" t="s">
        <v>85</v>
      </c>
      <c r="F11" s="242"/>
      <c r="G11" s="243"/>
      <c r="H11" s="243"/>
      <c r="I11" s="242" t="s">
        <v>173</v>
      </c>
      <c r="J11" s="244" t="s">
        <v>173</v>
      </c>
      <c r="K11" s="242" t="s">
        <v>173</v>
      </c>
      <c r="L11" s="242" t="s">
        <v>173</v>
      </c>
      <c r="M11" s="244" t="s">
        <v>173</v>
      </c>
      <c r="N11" s="242" t="s">
        <v>173</v>
      </c>
      <c r="O11" s="242" t="s">
        <v>203</v>
      </c>
      <c r="P11" s="242" t="s">
        <v>173</v>
      </c>
      <c r="Q11" s="244" t="s">
        <v>173</v>
      </c>
      <c r="R11" s="242" t="s">
        <v>173</v>
      </c>
      <c r="S11" s="245">
        <v>0.25</v>
      </c>
      <c r="T11" s="245">
        <v>0.4</v>
      </c>
      <c r="U11" s="245">
        <v>0.2</v>
      </c>
      <c r="V11" s="245">
        <v>0.4</v>
      </c>
      <c r="W11" s="245">
        <v>0.25</v>
      </c>
      <c r="X11" s="245">
        <v>0.5</v>
      </c>
      <c r="Y11" s="245">
        <v>0.2</v>
      </c>
      <c r="Z11" s="245">
        <v>0.4</v>
      </c>
      <c r="AA11" s="245">
        <v>0.25</v>
      </c>
      <c r="AB11" s="245">
        <v>0.5</v>
      </c>
      <c r="AC11" s="245">
        <v>0.25</v>
      </c>
      <c r="AD11" s="245">
        <v>0.4</v>
      </c>
      <c r="AE11" s="245">
        <v>0.2</v>
      </c>
      <c r="AF11" s="245">
        <v>0.4</v>
      </c>
      <c r="AG11" s="245">
        <v>0.25</v>
      </c>
      <c r="AH11" s="245">
        <v>0.5</v>
      </c>
      <c r="AI11" s="245">
        <v>0.2</v>
      </c>
      <c r="AJ11" s="245">
        <v>0.4</v>
      </c>
      <c r="AK11" s="245">
        <v>0.25</v>
      </c>
      <c r="AL11" s="246">
        <v>0.5</v>
      </c>
      <c r="AM11" s="237" t="s">
        <v>177</v>
      </c>
      <c r="AN11" s="237" t="s">
        <v>101</v>
      </c>
      <c r="AO11" s="237"/>
      <c r="AP11" s="237" t="s">
        <v>101</v>
      </c>
      <c r="AQ11" s="237"/>
      <c r="AR11" s="237" t="s">
        <v>101</v>
      </c>
      <c r="AS11" s="247" t="s">
        <v>201</v>
      </c>
      <c r="AT11" s="248" t="s">
        <v>101</v>
      </c>
      <c r="AU11" s="249"/>
      <c r="AV11" s="250" t="s">
        <v>101</v>
      </c>
      <c r="AW11" s="237"/>
      <c r="AX11" s="251"/>
      <c r="AY11" s="237" t="s">
        <v>101</v>
      </c>
      <c r="AZ11" s="252"/>
      <c r="BA11" s="237"/>
      <c r="BB11" s="237" t="s">
        <v>101</v>
      </c>
      <c r="BC11" s="252"/>
      <c r="BD11" s="237"/>
      <c r="BE11" s="237" t="s">
        <v>101</v>
      </c>
      <c r="BF11" s="237"/>
      <c r="BG11" s="237" t="s">
        <v>101</v>
      </c>
      <c r="BH11" s="225" t="s">
        <v>204</v>
      </c>
      <c r="BI11" s="237" t="s">
        <v>101</v>
      </c>
      <c r="BJ11" s="253"/>
      <c r="BK11" s="254"/>
      <c r="BL11" s="254"/>
      <c r="BM11" s="253"/>
      <c r="BN11" s="182"/>
      <c r="BO11" s="182"/>
    </row>
    <row r="12" spans="1:67" s="186" customFormat="1" ht="72.75" customHeight="1">
      <c r="A12" s="255" t="s">
        <v>205</v>
      </c>
      <c r="B12" s="255" t="s">
        <v>103</v>
      </c>
      <c r="C12" s="255" t="s">
        <v>206</v>
      </c>
      <c r="D12" s="255" t="s">
        <v>207</v>
      </c>
      <c r="E12" s="255" t="s">
        <v>103</v>
      </c>
      <c r="F12" s="255" t="s">
        <v>106</v>
      </c>
      <c r="G12" s="255">
        <v>5.41</v>
      </c>
      <c r="H12" s="256">
        <f>17697*G12*1.5</f>
        <v>143611.155</v>
      </c>
      <c r="I12" s="256"/>
      <c r="J12" s="256">
        <v>9</v>
      </c>
      <c r="K12" s="256"/>
      <c r="L12" s="256">
        <f>H12/18*I12</f>
        <v>0</v>
      </c>
      <c r="M12" s="256">
        <f>H12/18*J12</f>
        <v>71805.577499999999</v>
      </c>
      <c r="N12" s="256">
        <f>H12/18*K12</f>
        <v>0</v>
      </c>
      <c r="O12" s="256"/>
      <c r="P12" s="256"/>
      <c r="Q12" s="256"/>
      <c r="R12" s="256"/>
      <c r="S12" s="257"/>
      <c r="T12" s="257"/>
      <c r="U12" s="257"/>
      <c r="V12" s="257">
        <v>7</v>
      </c>
      <c r="W12" s="257"/>
      <c r="X12" s="257"/>
      <c r="Y12" s="257"/>
      <c r="Z12" s="257"/>
      <c r="AA12" s="257"/>
      <c r="AB12" s="257"/>
      <c r="AC12" s="257">
        <f>17697*25%/18*S12</f>
        <v>0</v>
      </c>
      <c r="AD12" s="257">
        <f>17697*40%/18*T12</f>
        <v>0</v>
      </c>
      <c r="AE12" s="257">
        <f>17697*20%/18*U12</f>
        <v>0</v>
      </c>
      <c r="AF12" s="257">
        <f>17697*40%/18*V12</f>
        <v>2752.8666666666668</v>
      </c>
      <c r="AG12" s="257">
        <f>17697*25%/18*W12</f>
        <v>0</v>
      </c>
      <c r="AH12" s="257">
        <f>17697*50%/18*X12</f>
        <v>0</v>
      </c>
      <c r="AI12" s="257">
        <f>17697*20%/18*Y12</f>
        <v>0</v>
      </c>
      <c r="AJ12" s="257">
        <f>17697*40%/18*Z12</f>
        <v>0</v>
      </c>
      <c r="AK12" s="257">
        <f>17697*25%/18*AA12</f>
        <v>0</v>
      </c>
      <c r="AL12" s="256">
        <f>17697*50%/18*AB12</f>
        <v>0</v>
      </c>
      <c r="AM12" s="256"/>
      <c r="AN12" s="256"/>
      <c r="AO12" s="256">
        <v>7</v>
      </c>
      <c r="AP12" s="256">
        <f>17697*20%/18*AO12</f>
        <v>1376.4333333333334</v>
      </c>
      <c r="AQ12" s="256"/>
      <c r="AR12" s="256"/>
      <c r="AS12" s="256"/>
      <c r="AT12" s="256"/>
      <c r="AU12" s="256"/>
      <c r="AV12" s="256"/>
      <c r="AW12" s="256"/>
      <c r="AX12" s="256"/>
      <c r="AY12" s="256"/>
      <c r="AZ12" s="256"/>
      <c r="BA12" s="256"/>
      <c r="BB12" s="256"/>
      <c r="BC12" s="258">
        <v>9</v>
      </c>
      <c r="BD12" s="259">
        <v>0.4</v>
      </c>
      <c r="BE12" s="259">
        <f>H12/18*40%*(I12+J12+K12)</f>
        <v>28722.231000000003</v>
      </c>
      <c r="BF12" s="256">
        <v>9</v>
      </c>
      <c r="BG12" s="256">
        <f>H12/18*BF12*30%</f>
        <v>21541.67325</v>
      </c>
      <c r="BH12" s="256">
        <v>1</v>
      </c>
      <c r="BI12" s="260">
        <f>17697*100%</f>
        <v>17697</v>
      </c>
      <c r="BJ12" s="256"/>
      <c r="BK12" s="256"/>
      <c r="BL12" s="256">
        <f>(L12+M12+N12)*10%</f>
        <v>7180.5577499999999</v>
      </c>
      <c r="BM12" s="256">
        <f>L12+M12+N12+P12+Q12+R12+AC12+AD12+AE12+AF12+AG12+AH12+AI12+AJ12+AK12+AL12+AN12+AP12+AR12+AT12+AV12+AY12+BB12+BE12+BG12+BI12+BK12+BL12</f>
        <v>151076.3395</v>
      </c>
      <c r="BN12" s="182"/>
      <c r="BO12" s="182"/>
    </row>
    <row r="13" spans="1:67" s="186" customFormat="1" ht="72.75" customHeight="1">
      <c r="A13" s="255" t="s">
        <v>208</v>
      </c>
      <c r="B13" s="255" t="s">
        <v>103</v>
      </c>
      <c r="C13" s="255" t="s">
        <v>209</v>
      </c>
      <c r="D13" s="255" t="s">
        <v>129</v>
      </c>
      <c r="E13" s="255" t="s">
        <v>103</v>
      </c>
      <c r="F13" s="255" t="s">
        <v>106</v>
      </c>
      <c r="G13" s="255">
        <v>5.41</v>
      </c>
      <c r="H13" s="256">
        <f t="shared" ref="H13:H76" si="0">17697*G13*1.5</f>
        <v>143611.155</v>
      </c>
      <c r="I13" s="256"/>
      <c r="J13" s="256">
        <v>18</v>
      </c>
      <c r="K13" s="256"/>
      <c r="L13" s="256">
        <f t="shared" ref="L13:L76" si="1">H13/18*I13</f>
        <v>0</v>
      </c>
      <c r="M13" s="256">
        <f t="shared" ref="M13:M76" si="2">H13/18*J13</f>
        <v>143611.155</v>
      </c>
      <c r="N13" s="256">
        <f t="shared" ref="N13:N76" si="3">H13/18*K13</f>
        <v>0</v>
      </c>
      <c r="O13" s="256"/>
      <c r="P13" s="256"/>
      <c r="Q13" s="256"/>
      <c r="R13" s="256"/>
      <c r="S13" s="257"/>
      <c r="T13" s="257"/>
      <c r="U13" s="257">
        <v>18</v>
      </c>
      <c r="V13" s="257"/>
      <c r="W13" s="257"/>
      <c r="X13" s="257"/>
      <c r="Y13" s="257"/>
      <c r="Z13" s="257"/>
      <c r="AA13" s="257"/>
      <c r="AB13" s="257"/>
      <c r="AC13" s="257">
        <f t="shared" ref="AC13:AC76" si="4">17697*25%/18*S13</f>
        <v>0</v>
      </c>
      <c r="AD13" s="257">
        <f t="shared" ref="AD13:AD76" si="5">17697*40%/18*T13</f>
        <v>0</v>
      </c>
      <c r="AE13" s="257">
        <f t="shared" ref="AE13:AE76" si="6">17697*20%/18*U13</f>
        <v>3539.3999999999996</v>
      </c>
      <c r="AF13" s="257">
        <f t="shared" ref="AF13:AF76" si="7">17697*40%/18*V13</f>
        <v>0</v>
      </c>
      <c r="AG13" s="257">
        <f t="shared" ref="AG13:AG76" si="8">17697*25%/18*W13</f>
        <v>0</v>
      </c>
      <c r="AH13" s="257">
        <f t="shared" ref="AH13:AH76" si="9">17697*50%/18*X13</f>
        <v>0</v>
      </c>
      <c r="AI13" s="257">
        <f t="shared" ref="AI13:AI76" si="10">17697*20%/18*Y13</f>
        <v>0</v>
      </c>
      <c r="AJ13" s="257">
        <f t="shared" ref="AJ13:AJ76" si="11">17697*40%/18*Z13</f>
        <v>0</v>
      </c>
      <c r="AK13" s="257">
        <f t="shared" ref="AK13:AK76" si="12">17697*25%/18*AA13</f>
        <v>0</v>
      </c>
      <c r="AL13" s="256">
        <f t="shared" ref="AL13:AL76" si="13">17697*50%/18*AB13</f>
        <v>0</v>
      </c>
      <c r="AM13" s="256"/>
      <c r="AN13" s="256"/>
      <c r="AO13" s="256">
        <v>9</v>
      </c>
      <c r="AP13" s="256">
        <f t="shared" ref="AP13:AP76" si="14">17697*20%/18*AO13</f>
        <v>1769.6999999999998</v>
      </c>
      <c r="AQ13" s="256"/>
      <c r="AR13" s="256"/>
      <c r="AS13" s="256"/>
      <c r="AT13" s="256"/>
      <c r="AU13" s="256" t="s">
        <v>210</v>
      </c>
      <c r="AV13" s="256">
        <f>17697*100%</f>
        <v>17697</v>
      </c>
      <c r="AW13" s="256"/>
      <c r="AX13" s="256"/>
      <c r="AY13" s="256"/>
      <c r="AZ13" s="256"/>
      <c r="BA13" s="256"/>
      <c r="BB13" s="256"/>
      <c r="BC13" s="261">
        <v>18</v>
      </c>
      <c r="BD13" s="256">
        <v>0.4</v>
      </c>
      <c r="BE13" s="259">
        <f t="shared" ref="BE13:BE14" si="15">H13/18*40%*(I13+J13+K13)</f>
        <v>57444.462000000007</v>
      </c>
      <c r="BF13" s="259">
        <v>18</v>
      </c>
      <c r="BG13" s="256">
        <f t="shared" ref="BG13:BG76" si="16">H13/18*BF13*30%</f>
        <v>43083.3465</v>
      </c>
      <c r="BH13" s="256"/>
      <c r="BI13" s="256"/>
      <c r="BJ13" s="256"/>
      <c r="BK13" s="256"/>
      <c r="BL13" s="256">
        <f t="shared" ref="BL13:BL76" si="17">(L13+M13+N13)*10%</f>
        <v>14361.1155</v>
      </c>
      <c r="BM13" s="256">
        <f t="shared" ref="BM13:BM76" si="18">L13+M13+N13+P13+Q13+R13+AC13+AD13+AE13+AF13+AG13+AH13+AI13+AJ13+AK13+AL13+AN13+AP13+AR13+AT13+AV13+AY13+BB13+BE13+BG13+BI13+BK13+BL13</f>
        <v>281506.179</v>
      </c>
      <c r="BN13" s="182"/>
      <c r="BO13" s="182"/>
    </row>
    <row r="14" spans="1:67" s="17" customFormat="1" ht="72.75" customHeight="1">
      <c r="A14" s="262" t="s">
        <v>211</v>
      </c>
      <c r="B14" s="262" t="s">
        <v>103</v>
      </c>
      <c r="C14" s="262" t="s">
        <v>212</v>
      </c>
      <c r="D14" s="262" t="s">
        <v>213</v>
      </c>
      <c r="E14" s="262" t="s">
        <v>103</v>
      </c>
      <c r="F14" s="262" t="s">
        <v>106</v>
      </c>
      <c r="G14" s="255">
        <v>5.41</v>
      </c>
      <c r="H14" s="256">
        <f t="shared" si="0"/>
        <v>143611.155</v>
      </c>
      <c r="I14" s="259"/>
      <c r="J14" s="259">
        <v>17</v>
      </c>
      <c r="K14" s="259"/>
      <c r="L14" s="256">
        <f t="shared" si="1"/>
        <v>0</v>
      </c>
      <c r="M14" s="256">
        <f t="shared" si="2"/>
        <v>135632.75750000001</v>
      </c>
      <c r="N14" s="256">
        <f t="shared" si="3"/>
        <v>0</v>
      </c>
      <c r="O14" s="259"/>
      <c r="P14" s="259"/>
      <c r="Q14" s="259"/>
      <c r="R14" s="259"/>
      <c r="S14" s="263"/>
      <c r="T14" s="263"/>
      <c r="U14" s="263"/>
      <c r="V14" s="263">
        <v>15</v>
      </c>
      <c r="W14" s="263"/>
      <c r="X14" s="263"/>
      <c r="Y14" s="263"/>
      <c r="Z14" s="263"/>
      <c r="AA14" s="263"/>
      <c r="AB14" s="263"/>
      <c r="AC14" s="257">
        <f t="shared" si="4"/>
        <v>0</v>
      </c>
      <c r="AD14" s="257">
        <f t="shared" si="5"/>
        <v>0</v>
      </c>
      <c r="AE14" s="257">
        <f t="shared" si="6"/>
        <v>0</v>
      </c>
      <c r="AF14" s="257">
        <f t="shared" si="7"/>
        <v>5899</v>
      </c>
      <c r="AG14" s="257">
        <f t="shared" si="8"/>
        <v>0</v>
      </c>
      <c r="AH14" s="257">
        <f t="shared" si="9"/>
        <v>0</v>
      </c>
      <c r="AI14" s="257">
        <f t="shared" si="10"/>
        <v>0</v>
      </c>
      <c r="AJ14" s="257">
        <f t="shared" si="11"/>
        <v>0</v>
      </c>
      <c r="AK14" s="257">
        <f t="shared" si="12"/>
        <v>0</v>
      </c>
      <c r="AL14" s="256">
        <f t="shared" si="13"/>
        <v>0</v>
      </c>
      <c r="AM14" s="259"/>
      <c r="AN14" s="259"/>
      <c r="AO14" s="259"/>
      <c r="AP14" s="256">
        <f t="shared" si="14"/>
        <v>0</v>
      </c>
      <c r="AQ14" s="259"/>
      <c r="AR14" s="259"/>
      <c r="AS14" s="259"/>
      <c r="AT14" s="259"/>
      <c r="AU14" s="259"/>
      <c r="AV14" s="259"/>
      <c r="AW14" s="259"/>
      <c r="AX14" s="259"/>
      <c r="AY14" s="259"/>
      <c r="AZ14" s="259"/>
      <c r="BA14" s="259"/>
      <c r="BB14" s="259"/>
      <c r="BC14" s="258">
        <v>17</v>
      </c>
      <c r="BD14" s="259">
        <v>0.4</v>
      </c>
      <c r="BE14" s="259">
        <f t="shared" si="15"/>
        <v>54253.103000000003</v>
      </c>
      <c r="BF14" s="259">
        <v>17</v>
      </c>
      <c r="BG14" s="259">
        <f t="shared" si="16"/>
        <v>40689.827250000002</v>
      </c>
      <c r="BH14" s="259"/>
      <c r="BI14" s="259"/>
      <c r="BJ14" s="259"/>
      <c r="BK14" s="256"/>
      <c r="BL14" s="256">
        <f t="shared" si="17"/>
        <v>13563.275750000001</v>
      </c>
      <c r="BM14" s="256">
        <f t="shared" si="18"/>
        <v>250037.96350000001</v>
      </c>
      <c r="BN14" s="188"/>
      <c r="BO14" s="188"/>
    </row>
    <row r="15" spans="1:67" s="186" customFormat="1" ht="72.75" customHeight="1">
      <c r="A15" s="255" t="s">
        <v>214</v>
      </c>
      <c r="B15" s="255" t="s">
        <v>103</v>
      </c>
      <c r="C15" s="255" t="s">
        <v>215</v>
      </c>
      <c r="D15" s="255" t="s">
        <v>105</v>
      </c>
      <c r="E15" s="255" t="s">
        <v>103</v>
      </c>
      <c r="F15" s="255" t="s">
        <v>106</v>
      </c>
      <c r="G15" s="255">
        <v>5.41</v>
      </c>
      <c r="H15" s="256">
        <f t="shared" si="0"/>
        <v>143611.155</v>
      </c>
      <c r="I15" s="256"/>
      <c r="J15" s="256">
        <v>9</v>
      </c>
      <c r="K15" s="256"/>
      <c r="L15" s="256">
        <f t="shared" si="1"/>
        <v>0</v>
      </c>
      <c r="M15" s="256">
        <f t="shared" si="2"/>
        <v>71805.577499999999</v>
      </c>
      <c r="N15" s="256">
        <f t="shared" si="3"/>
        <v>0</v>
      </c>
      <c r="O15" s="256"/>
      <c r="P15" s="256"/>
      <c r="Q15" s="256"/>
      <c r="R15" s="256"/>
      <c r="S15" s="257"/>
      <c r="T15" s="257"/>
      <c r="U15" s="257"/>
      <c r="V15" s="257"/>
      <c r="W15" s="257"/>
      <c r="X15" s="257"/>
      <c r="Y15" s="257"/>
      <c r="Z15" s="257"/>
      <c r="AA15" s="257"/>
      <c r="AB15" s="257"/>
      <c r="AC15" s="257">
        <f t="shared" si="4"/>
        <v>0</v>
      </c>
      <c r="AD15" s="257">
        <f t="shared" si="5"/>
        <v>0</v>
      </c>
      <c r="AE15" s="257">
        <f t="shared" si="6"/>
        <v>0</v>
      </c>
      <c r="AF15" s="257">
        <f t="shared" si="7"/>
        <v>0</v>
      </c>
      <c r="AG15" s="257">
        <f t="shared" si="8"/>
        <v>0</v>
      </c>
      <c r="AH15" s="257">
        <f t="shared" si="9"/>
        <v>0</v>
      </c>
      <c r="AI15" s="257">
        <f t="shared" si="10"/>
        <v>0</v>
      </c>
      <c r="AJ15" s="257">
        <f t="shared" si="11"/>
        <v>0</v>
      </c>
      <c r="AK15" s="257">
        <f t="shared" si="12"/>
        <v>0</v>
      </c>
      <c r="AL15" s="256">
        <f t="shared" si="13"/>
        <v>0</v>
      </c>
      <c r="AM15" s="256"/>
      <c r="AN15" s="256"/>
      <c r="AO15" s="256">
        <v>5</v>
      </c>
      <c r="AP15" s="256">
        <f t="shared" si="14"/>
        <v>983.16666666666663</v>
      </c>
      <c r="AQ15" s="256"/>
      <c r="AR15" s="256"/>
      <c r="AS15" s="256"/>
      <c r="AT15" s="256"/>
      <c r="AU15" s="256"/>
      <c r="AV15" s="256"/>
      <c r="AW15" s="256"/>
      <c r="AX15" s="256"/>
      <c r="AY15" s="256"/>
      <c r="AZ15" s="256"/>
      <c r="BA15" s="256"/>
      <c r="BB15" s="256"/>
      <c r="BC15" s="261"/>
      <c r="BD15" s="256"/>
      <c r="BE15" s="259">
        <f t="shared" ref="BE15:BE16" si="19">H15/18*40%*BC15</f>
        <v>0</v>
      </c>
      <c r="BF15" s="256">
        <v>9</v>
      </c>
      <c r="BG15" s="256">
        <f t="shared" si="16"/>
        <v>21541.67325</v>
      </c>
      <c r="BH15" s="256"/>
      <c r="BI15" s="256"/>
      <c r="BJ15" s="256"/>
      <c r="BK15" s="256"/>
      <c r="BL15" s="256">
        <f t="shared" si="17"/>
        <v>7180.5577499999999</v>
      </c>
      <c r="BM15" s="256">
        <f t="shared" si="18"/>
        <v>101510.97516666667</v>
      </c>
      <c r="BN15" s="182"/>
      <c r="BO15" s="182"/>
    </row>
    <row r="16" spans="1:67" s="186" customFormat="1" ht="72.75" customHeight="1">
      <c r="A16" s="255" t="s">
        <v>216</v>
      </c>
      <c r="B16" s="255" t="s">
        <v>103</v>
      </c>
      <c r="C16" s="255" t="s">
        <v>217</v>
      </c>
      <c r="D16" s="255" t="s">
        <v>112</v>
      </c>
      <c r="E16" s="255" t="s">
        <v>103</v>
      </c>
      <c r="F16" s="255" t="s">
        <v>106</v>
      </c>
      <c r="G16" s="255">
        <v>5.41</v>
      </c>
      <c r="H16" s="256">
        <f t="shared" si="0"/>
        <v>143611.155</v>
      </c>
      <c r="I16" s="256"/>
      <c r="J16" s="256"/>
      <c r="K16" s="256">
        <v>9</v>
      </c>
      <c r="L16" s="256">
        <f t="shared" si="1"/>
        <v>0</v>
      </c>
      <c r="M16" s="256">
        <f t="shared" si="2"/>
        <v>0</v>
      </c>
      <c r="N16" s="256">
        <f t="shared" si="3"/>
        <v>71805.577499999999</v>
      </c>
      <c r="O16" s="256"/>
      <c r="P16" s="256"/>
      <c r="Q16" s="256"/>
      <c r="R16" s="256"/>
      <c r="S16" s="257"/>
      <c r="T16" s="257"/>
      <c r="U16" s="257"/>
      <c r="V16" s="257"/>
      <c r="W16" s="257"/>
      <c r="X16" s="257"/>
      <c r="Y16" s="257"/>
      <c r="Z16" s="257"/>
      <c r="AA16" s="257"/>
      <c r="AB16" s="257"/>
      <c r="AC16" s="257">
        <f t="shared" si="4"/>
        <v>0</v>
      </c>
      <c r="AD16" s="257">
        <f t="shared" si="5"/>
        <v>0</v>
      </c>
      <c r="AE16" s="257">
        <f t="shared" si="6"/>
        <v>0</v>
      </c>
      <c r="AF16" s="257">
        <f t="shared" si="7"/>
        <v>0</v>
      </c>
      <c r="AG16" s="257">
        <f t="shared" si="8"/>
        <v>0</v>
      </c>
      <c r="AH16" s="257">
        <f t="shared" si="9"/>
        <v>0</v>
      </c>
      <c r="AI16" s="257">
        <f t="shared" si="10"/>
        <v>0</v>
      </c>
      <c r="AJ16" s="257">
        <f t="shared" si="11"/>
        <v>0</v>
      </c>
      <c r="AK16" s="257">
        <f t="shared" si="12"/>
        <v>0</v>
      </c>
      <c r="AL16" s="256">
        <f t="shared" si="13"/>
        <v>0</v>
      </c>
      <c r="AM16" s="256"/>
      <c r="AN16" s="256"/>
      <c r="AO16" s="256">
        <v>9</v>
      </c>
      <c r="AP16" s="256">
        <f t="shared" si="14"/>
        <v>1769.6999999999998</v>
      </c>
      <c r="AQ16" s="256"/>
      <c r="AR16" s="256"/>
      <c r="AS16" s="256"/>
      <c r="AT16" s="256"/>
      <c r="AU16" s="256"/>
      <c r="AV16" s="256"/>
      <c r="AW16" s="256"/>
      <c r="AX16" s="256"/>
      <c r="AY16" s="256"/>
      <c r="AZ16" s="256"/>
      <c r="BA16" s="256"/>
      <c r="BB16" s="256"/>
      <c r="BC16" s="261"/>
      <c r="BD16" s="256"/>
      <c r="BE16" s="259">
        <f t="shared" si="19"/>
        <v>0</v>
      </c>
      <c r="BF16" s="256">
        <v>9</v>
      </c>
      <c r="BG16" s="256">
        <f t="shared" si="16"/>
        <v>21541.67325</v>
      </c>
      <c r="BH16" s="256"/>
      <c r="BI16" s="256"/>
      <c r="BJ16" s="256"/>
      <c r="BK16" s="256"/>
      <c r="BL16" s="256">
        <f t="shared" si="17"/>
        <v>7180.5577499999999</v>
      </c>
      <c r="BM16" s="256">
        <f t="shared" si="18"/>
        <v>102297.5085</v>
      </c>
      <c r="BN16" s="182"/>
      <c r="BO16" s="182"/>
    </row>
    <row r="17" spans="1:67" s="186" customFormat="1" ht="72.75" customHeight="1">
      <c r="A17" s="255" t="s">
        <v>218</v>
      </c>
      <c r="B17" s="255" t="s">
        <v>103</v>
      </c>
      <c r="C17" s="255" t="s">
        <v>219</v>
      </c>
      <c r="D17" s="255" t="s">
        <v>109</v>
      </c>
      <c r="E17" s="255" t="s">
        <v>103</v>
      </c>
      <c r="F17" s="255" t="s">
        <v>106</v>
      </c>
      <c r="G17" s="255">
        <v>5.41</v>
      </c>
      <c r="H17" s="256">
        <f t="shared" si="0"/>
        <v>143611.155</v>
      </c>
      <c r="I17" s="256">
        <v>6</v>
      </c>
      <c r="J17" s="256">
        <v>19</v>
      </c>
      <c r="K17" s="256">
        <v>2</v>
      </c>
      <c r="L17" s="256">
        <f t="shared" si="1"/>
        <v>47870.385000000002</v>
      </c>
      <c r="M17" s="256">
        <f t="shared" si="2"/>
        <v>151589.55249999999</v>
      </c>
      <c r="N17" s="256">
        <f t="shared" si="3"/>
        <v>15956.795</v>
      </c>
      <c r="O17" s="256" t="s">
        <v>220</v>
      </c>
      <c r="P17" s="256"/>
      <c r="Q17" s="256"/>
      <c r="R17" s="256">
        <f>(17697*60%)/2</f>
        <v>5309.0999999999995</v>
      </c>
      <c r="S17" s="257">
        <v>6</v>
      </c>
      <c r="T17" s="257"/>
      <c r="U17" s="257"/>
      <c r="V17" s="257"/>
      <c r="W17" s="257">
        <v>19</v>
      </c>
      <c r="X17" s="257"/>
      <c r="Y17" s="257"/>
      <c r="Z17" s="257"/>
      <c r="AA17" s="257">
        <v>2</v>
      </c>
      <c r="AB17" s="257"/>
      <c r="AC17" s="257">
        <f t="shared" si="4"/>
        <v>1474.75</v>
      </c>
      <c r="AD17" s="257">
        <f t="shared" si="5"/>
        <v>0</v>
      </c>
      <c r="AE17" s="257">
        <f t="shared" si="6"/>
        <v>0</v>
      </c>
      <c r="AF17" s="257">
        <f t="shared" si="7"/>
        <v>0</v>
      </c>
      <c r="AG17" s="257">
        <f t="shared" si="8"/>
        <v>4670.0416666666661</v>
      </c>
      <c r="AH17" s="257">
        <f t="shared" si="9"/>
        <v>0</v>
      </c>
      <c r="AI17" s="257">
        <f t="shared" si="10"/>
        <v>0</v>
      </c>
      <c r="AJ17" s="257">
        <f t="shared" si="11"/>
        <v>0</v>
      </c>
      <c r="AK17" s="257">
        <f t="shared" si="12"/>
        <v>491.58333333333331</v>
      </c>
      <c r="AL17" s="256">
        <f t="shared" si="13"/>
        <v>0</v>
      </c>
      <c r="AM17" s="256" t="s">
        <v>221</v>
      </c>
      <c r="AN17" s="256">
        <f>17697*20%</f>
        <v>3539.4</v>
      </c>
      <c r="AO17" s="256">
        <v>21</v>
      </c>
      <c r="AP17" s="256">
        <f t="shared" si="14"/>
        <v>4129.3</v>
      </c>
      <c r="AQ17" s="256"/>
      <c r="AR17" s="256"/>
      <c r="AS17" s="256"/>
      <c r="AT17" s="256"/>
      <c r="AU17" s="256"/>
      <c r="AV17" s="256"/>
      <c r="AW17" s="256"/>
      <c r="AX17" s="256"/>
      <c r="AY17" s="256"/>
      <c r="AZ17" s="256"/>
      <c r="BA17" s="256"/>
      <c r="BB17" s="256"/>
      <c r="BC17" s="261">
        <v>27</v>
      </c>
      <c r="BD17" s="259">
        <v>0.4</v>
      </c>
      <c r="BE17" s="259">
        <f t="shared" ref="BE17:BE55" si="20">H17/18*40%*(I17+J17+K17)</f>
        <v>86166.693000000014</v>
      </c>
      <c r="BF17" s="259">
        <v>27</v>
      </c>
      <c r="BG17" s="256">
        <f t="shared" si="16"/>
        <v>64625.019749999999</v>
      </c>
      <c r="BH17" s="256"/>
      <c r="BI17" s="256"/>
      <c r="BJ17" s="256"/>
      <c r="BK17" s="256"/>
      <c r="BL17" s="256">
        <f t="shared" si="17"/>
        <v>21541.673250000003</v>
      </c>
      <c r="BM17" s="256">
        <f t="shared" si="18"/>
        <v>407364.29349999997</v>
      </c>
      <c r="BN17" s="182"/>
      <c r="BO17" s="182"/>
    </row>
    <row r="18" spans="1:67" s="186" customFormat="1" ht="72.75" customHeight="1">
      <c r="A18" s="255" t="s">
        <v>222</v>
      </c>
      <c r="B18" s="255" t="s">
        <v>103</v>
      </c>
      <c r="C18" s="255" t="s">
        <v>223</v>
      </c>
      <c r="D18" s="255" t="s">
        <v>115</v>
      </c>
      <c r="E18" s="255" t="s">
        <v>103</v>
      </c>
      <c r="F18" s="255" t="s">
        <v>106</v>
      </c>
      <c r="G18" s="255">
        <v>5.41</v>
      </c>
      <c r="H18" s="256">
        <f t="shared" si="0"/>
        <v>143611.155</v>
      </c>
      <c r="I18" s="256">
        <v>9</v>
      </c>
      <c r="J18" s="256"/>
      <c r="K18" s="256">
        <v>6</v>
      </c>
      <c r="L18" s="256">
        <f t="shared" si="1"/>
        <v>71805.577499999999</v>
      </c>
      <c r="M18" s="256">
        <f t="shared" si="2"/>
        <v>0</v>
      </c>
      <c r="N18" s="256">
        <f t="shared" si="3"/>
        <v>47870.385000000002</v>
      </c>
      <c r="O18" s="256"/>
      <c r="P18" s="256"/>
      <c r="Q18" s="256"/>
      <c r="R18" s="256"/>
      <c r="S18" s="257">
        <v>9</v>
      </c>
      <c r="T18" s="257"/>
      <c r="U18" s="257"/>
      <c r="V18" s="257"/>
      <c r="W18" s="257"/>
      <c r="X18" s="257"/>
      <c r="Y18" s="257"/>
      <c r="Z18" s="257"/>
      <c r="AA18" s="257">
        <v>5</v>
      </c>
      <c r="AB18" s="257"/>
      <c r="AC18" s="257">
        <f t="shared" si="4"/>
        <v>2212.125</v>
      </c>
      <c r="AD18" s="257">
        <f t="shared" si="5"/>
        <v>0</v>
      </c>
      <c r="AE18" s="257">
        <f t="shared" si="6"/>
        <v>0</v>
      </c>
      <c r="AF18" s="257">
        <f t="shared" si="7"/>
        <v>0</v>
      </c>
      <c r="AG18" s="257">
        <f t="shared" si="8"/>
        <v>0</v>
      </c>
      <c r="AH18" s="257">
        <f t="shared" si="9"/>
        <v>0</v>
      </c>
      <c r="AI18" s="257">
        <f t="shared" si="10"/>
        <v>0</v>
      </c>
      <c r="AJ18" s="257">
        <f t="shared" si="11"/>
        <v>0</v>
      </c>
      <c r="AK18" s="257">
        <f t="shared" si="12"/>
        <v>1228.9583333333333</v>
      </c>
      <c r="AL18" s="256">
        <f t="shared" si="13"/>
        <v>0</v>
      </c>
      <c r="AM18" s="256"/>
      <c r="AN18" s="256"/>
      <c r="AO18" s="256">
        <v>12</v>
      </c>
      <c r="AP18" s="256">
        <f t="shared" si="14"/>
        <v>2359.6</v>
      </c>
      <c r="AQ18" s="256"/>
      <c r="AR18" s="256"/>
      <c r="AS18" s="256"/>
      <c r="AT18" s="256"/>
      <c r="AU18" s="256"/>
      <c r="AV18" s="256"/>
      <c r="AW18" s="256"/>
      <c r="AX18" s="256"/>
      <c r="AY18" s="256"/>
      <c r="AZ18" s="256"/>
      <c r="BA18" s="256"/>
      <c r="BB18" s="256"/>
      <c r="BC18" s="261">
        <v>15</v>
      </c>
      <c r="BD18" s="256">
        <v>0.4</v>
      </c>
      <c r="BE18" s="259">
        <f t="shared" si="20"/>
        <v>47870.385000000009</v>
      </c>
      <c r="BF18" s="259">
        <v>15</v>
      </c>
      <c r="BG18" s="256">
        <f t="shared" si="16"/>
        <v>35902.78875</v>
      </c>
      <c r="BH18" s="256"/>
      <c r="BI18" s="256"/>
      <c r="BJ18" s="256"/>
      <c r="BK18" s="256"/>
      <c r="BL18" s="256">
        <f t="shared" si="17"/>
        <v>11967.596250000001</v>
      </c>
      <c r="BM18" s="256">
        <f t="shared" si="18"/>
        <v>221217.41583333333</v>
      </c>
      <c r="BN18" s="182"/>
      <c r="BO18" s="182"/>
    </row>
    <row r="19" spans="1:67" s="17" customFormat="1" ht="72.75" customHeight="1">
      <c r="A19" s="262" t="s">
        <v>224</v>
      </c>
      <c r="B19" s="262" t="s">
        <v>103</v>
      </c>
      <c r="C19" s="262" t="s">
        <v>225</v>
      </c>
      <c r="D19" s="262" t="s">
        <v>140</v>
      </c>
      <c r="E19" s="262" t="s">
        <v>103</v>
      </c>
      <c r="F19" s="262" t="s">
        <v>106</v>
      </c>
      <c r="G19" s="255">
        <v>5.41</v>
      </c>
      <c r="H19" s="256">
        <f t="shared" si="0"/>
        <v>143611.155</v>
      </c>
      <c r="I19" s="259">
        <v>25</v>
      </c>
      <c r="J19" s="259"/>
      <c r="K19" s="259"/>
      <c r="L19" s="256">
        <f t="shared" si="1"/>
        <v>199459.9375</v>
      </c>
      <c r="M19" s="256">
        <f t="shared" si="2"/>
        <v>0</v>
      </c>
      <c r="N19" s="256">
        <f t="shared" si="3"/>
        <v>0</v>
      </c>
      <c r="O19" s="259" t="s">
        <v>226</v>
      </c>
      <c r="P19" s="259">
        <f>17697*50%</f>
        <v>8848.5</v>
      </c>
      <c r="Q19" s="259"/>
      <c r="R19" s="259"/>
      <c r="S19" s="263"/>
      <c r="T19" s="263">
        <v>18</v>
      </c>
      <c r="U19" s="263"/>
      <c r="V19" s="263"/>
      <c r="W19" s="263"/>
      <c r="X19" s="263"/>
      <c r="Y19" s="263"/>
      <c r="Z19" s="263"/>
      <c r="AA19" s="263"/>
      <c r="AB19" s="263"/>
      <c r="AC19" s="257">
        <f t="shared" si="4"/>
        <v>0</v>
      </c>
      <c r="AD19" s="257">
        <f t="shared" si="5"/>
        <v>7078.7999999999993</v>
      </c>
      <c r="AE19" s="257">
        <f t="shared" si="6"/>
        <v>0</v>
      </c>
      <c r="AF19" s="257">
        <f t="shared" si="7"/>
        <v>0</v>
      </c>
      <c r="AG19" s="257">
        <f t="shared" si="8"/>
        <v>0</v>
      </c>
      <c r="AH19" s="257">
        <f t="shared" si="9"/>
        <v>0</v>
      </c>
      <c r="AI19" s="257">
        <f t="shared" si="10"/>
        <v>0</v>
      </c>
      <c r="AJ19" s="257">
        <f t="shared" si="11"/>
        <v>0</v>
      </c>
      <c r="AK19" s="257">
        <f t="shared" si="12"/>
        <v>0</v>
      </c>
      <c r="AL19" s="256">
        <f t="shared" si="13"/>
        <v>0</v>
      </c>
      <c r="AM19" s="259" t="s">
        <v>227</v>
      </c>
      <c r="AN19" s="256">
        <f>17697*20%</f>
        <v>3539.4</v>
      </c>
      <c r="AO19" s="259">
        <v>20</v>
      </c>
      <c r="AP19" s="256">
        <f t="shared" si="14"/>
        <v>3932.6666666666665</v>
      </c>
      <c r="AQ19" s="259"/>
      <c r="AR19" s="259"/>
      <c r="AS19" s="259"/>
      <c r="AT19" s="259"/>
      <c r="AU19" s="259"/>
      <c r="AV19" s="259"/>
      <c r="AW19" s="259"/>
      <c r="AX19" s="259"/>
      <c r="AY19" s="259"/>
      <c r="AZ19" s="259"/>
      <c r="BA19" s="259"/>
      <c r="BB19" s="259"/>
      <c r="BC19" s="258">
        <v>25</v>
      </c>
      <c r="BD19" s="259">
        <v>0.4</v>
      </c>
      <c r="BE19" s="259">
        <f t="shared" si="20"/>
        <v>79783.975000000006</v>
      </c>
      <c r="BF19" s="259">
        <v>25</v>
      </c>
      <c r="BG19" s="259">
        <f t="shared" si="16"/>
        <v>59837.981249999997</v>
      </c>
      <c r="BH19" s="259"/>
      <c r="BI19" s="259"/>
      <c r="BJ19" s="259"/>
      <c r="BK19" s="256"/>
      <c r="BL19" s="256">
        <f t="shared" si="17"/>
        <v>19945.993750000001</v>
      </c>
      <c r="BM19" s="256">
        <f t="shared" si="18"/>
        <v>382427.25416666671</v>
      </c>
      <c r="BN19" s="188"/>
      <c r="BO19" s="188"/>
    </row>
    <row r="20" spans="1:67" s="186" customFormat="1" ht="72.75" customHeight="1">
      <c r="A20" s="255" t="s">
        <v>102</v>
      </c>
      <c r="B20" s="255" t="s">
        <v>103</v>
      </c>
      <c r="C20" s="255" t="s">
        <v>104</v>
      </c>
      <c r="D20" s="255" t="s">
        <v>105</v>
      </c>
      <c r="E20" s="255" t="s">
        <v>103</v>
      </c>
      <c r="F20" s="255" t="s">
        <v>106</v>
      </c>
      <c r="G20" s="255">
        <v>5.41</v>
      </c>
      <c r="H20" s="256">
        <f t="shared" si="0"/>
        <v>143611.155</v>
      </c>
      <c r="I20" s="256"/>
      <c r="J20" s="256">
        <v>17</v>
      </c>
      <c r="K20" s="256">
        <v>8</v>
      </c>
      <c r="L20" s="256">
        <f t="shared" si="1"/>
        <v>0</v>
      </c>
      <c r="M20" s="256">
        <f t="shared" si="2"/>
        <v>135632.75750000001</v>
      </c>
      <c r="N20" s="256">
        <f t="shared" si="3"/>
        <v>63827.18</v>
      </c>
      <c r="O20" s="256"/>
      <c r="P20" s="256"/>
      <c r="Q20" s="256"/>
      <c r="R20" s="256"/>
      <c r="S20" s="257"/>
      <c r="T20" s="257"/>
      <c r="U20" s="257"/>
      <c r="V20" s="257">
        <v>15</v>
      </c>
      <c r="W20" s="257"/>
      <c r="X20" s="257"/>
      <c r="Y20" s="257"/>
      <c r="Z20" s="257">
        <v>6</v>
      </c>
      <c r="AA20" s="257"/>
      <c r="AB20" s="257"/>
      <c r="AC20" s="257">
        <f t="shared" si="4"/>
        <v>0</v>
      </c>
      <c r="AD20" s="257">
        <f t="shared" si="5"/>
        <v>0</v>
      </c>
      <c r="AE20" s="257">
        <f t="shared" si="6"/>
        <v>0</v>
      </c>
      <c r="AF20" s="257">
        <f t="shared" si="7"/>
        <v>5899</v>
      </c>
      <c r="AG20" s="257">
        <f t="shared" si="8"/>
        <v>0</v>
      </c>
      <c r="AH20" s="257">
        <f t="shared" si="9"/>
        <v>0</v>
      </c>
      <c r="AI20" s="257">
        <f t="shared" si="10"/>
        <v>0</v>
      </c>
      <c r="AJ20" s="257">
        <f t="shared" si="11"/>
        <v>2359.6</v>
      </c>
      <c r="AK20" s="257">
        <f t="shared" si="12"/>
        <v>0</v>
      </c>
      <c r="AL20" s="256">
        <f t="shared" si="13"/>
        <v>0</v>
      </c>
      <c r="AM20" s="256"/>
      <c r="AN20" s="256"/>
      <c r="AO20" s="256">
        <v>19</v>
      </c>
      <c r="AP20" s="256">
        <f t="shared" si="14"/>
        <v>3736.0333333333333</v>
      </c>
      <c r="AQ20" s="256"/>
      <c r="AR20" s="256"/>
      <c r="AS20" s="256"/>
      <c r="AT20" s="256"/>
      <c r="AU20" s="256"/>
      <c r="AV20" s="256"/>
      <c r="AW20" s="256"/>
      <c r="AX20" s="256"/>
      <c r="AY20" s="256"/>
      <c r="AZ20" s="256"/>
      <c r="BA20" s="256"/>
      <c r="BB20" s="256"/>
      <c r="BC20" s="261">
        <v>25</v>
      </c>
      <c r="BD20" s="256">
        <v>0.4</v>
      </c>
      <c r="BE20" s="259">
        <f t="shared" si="20"/>
        <v>79783.975000000006</v>
      </c>
      <c r="BF20" s="256">
        <v>25</v>
      </c>
      <c r="BG20" s="256">
        <f t="shared" si="16"/>
        <v>59837.981249999997</v>
      </c>
      <c r="BH20" s="256"/>
      <c r="BI20" s="256"/>
      <c r="BJ20" s="256">
        <v>5</v>
      </c>
      <c r="BK20" s="256">
        <f>17697*40%/18*BJ20</f>
        <v>1966.3333333333333</v>
      </c>
      <c r="BL20" s="256">
        <f t="shared" si="17"/>
        <v>19945.993750000001</v>
      </c>
      <c r="BM20" s="256">
        <f t="shared" si="18"/>
        <v>372988.85416666669</v>
      </c>
      <c r="BN20" s="182"/>
      <c r="BO20" s="182"/>
    </row>
    <row r="21" spans="1:67" s="186" customFormat="1" ht="72.75" customHeight="1">
      <c r="A21" s="255" t="s">
        <v>228</v>
      </c>
      <c r="B21" s="255" t="s">
        <v>103</v>
      </c>
      <c r="C21" s="255" t="s">
        <v>229</v>
      </c>
      <c r="D21" s="255" t="s">
        <v>115</v>
      </c>
      <c r="E21" s="255" t="s">
        <v>103</v>
      </c>
      <c r="F21" s="255" t="s">
        <v>106</v>
      </c>
      <c r="G21" s="255">
        <v>5.41</v>
      </c>
      <c r="H21" s="256">
        <f t="shared" si="0"/>
        <v>143611.155</v>
      </c>
      <c r="I21" s="256"/>
      <c r="J21" s="256">
        <v>19</v>
      </c>
      <c r="K21" s="256">
        <v>5</v>
      </c>
      <c r="L21" s="256">
        <f t="shared" si="1"/>
        <v>0</v>
      </c>
      <c r="M21" s="256">
        <f t="shared" si="2"/>
        <v>151589.55249999999</v>
      </c>
      <c r="N21" s="256">
        <f t="shared" si="3"/>
        <v>39891.987500000003</v>
      </c>
      <c r="O21" s="256" t="s">
        <v>230</v>
      </c>
      <c r="P21" s="256"/>
      <c r="Q21" s="256">
        <f>17697*60%</f>
        <v>10618.199999999999</v>
      </c>
      <c r="R21" s="256"/>
      <c r="S21" s="257"/>
      <c r="T21" s="257"/>
      <c r="U21" s="257"/>
      <c r="V21" s="257"/>
      <c r="W21" s="257"/>
      <c r="X21" s="257">
        <v>15</v>
      </c>
      <c r="Y21" s="257"/>
      <c r="Z21" s="257"/>
      <c r="AA21" s="257"/>
      <c r="AB21" s="257">
        <v>3</v>
      </c>
      <c r="AC21" s="257">
        <f t="shared" si="4"/>
        <v>0</v>
      </c>
      <c r="AD21" s="257">
        <f t="shared" si="5"/>
        <v>0</v>
      </c>
      <c r="AE21" s="257">
        <f t="shared" si="6"/>
        <v>0</v>
      </c>
      <c r="AF21" s="257">
        <f t="shared" si="7"/>
        <v>0</v>
      </c>
      <c r="AG21" s="257">
        <f t="shared" si="8"/>
        <v>0</v>
      </c>
      <c r="AH21" s="257">
        <f t="shared" si="9"/>
        <v>7373.75</v>
      </c>
      <c r="AI21" s="257">
        <f t="shared" si="10"/>
        <v>0</v>
      </c>
      <c r="AJ21" s="257">
        <f t="shared" si="11"/>
        <v>0</v>
      </c>
      <c r="AK21" s="257">
        <f t="shared" si="12"/>
        <v>0</v>
      </c>
      <c r="AL21" s="256">
        <f t="shared" si="13"/>
        <v>1474.75</v>
      </c>
      <c r="AM21" s="256"/>
      <c r="AN21" s="256"/>
      <c r="AO21" s="256">
        <v>7</v>
      </c>
      <c r="AP21" s="256">
        <f t="shared" si="14"/>
        <v>1376.4333333333334</v>
      </c>
      <c r="AQ21" s="256"/>
      <c r="AR21" s="256"/>
      <c r="AS21" s="256"/>
      <c r="AT21" s="256"/>
      <c r="AU21" s="256"/>
      <c r="AV21" s="256"/>
      <c r="AW21" s="256"/>
      <c r="AX21" s="256"/>
      <c r="AY21" s="256"/>
      <c r="AZ21" s="256"/>
      <c r="BA21" s="256"/>
      <c r="BB21" s="256"/>
      <c r="BC21" s="261">
        <v>24</v>
      </c>
      <c r="BD21" s="256">
        <v>0.4</v>
      </c>
      <c r="BE21" s="259">
        <f t="shared" si="20"/>
        <v>76592.616000000009</v>
      </c>
      <c r="BF21" s="259">
        <v>24</v>
      </c>
      <c r="BG21" s="256">
        <f t="shared" si="16"/>
        <v>57444.462</v>
      </c>
      <c r="BH21" s="256"/>
      <c r="BI21" s="256"/>
      <c r="BJ21" s="256">
        <v>5</v>
      </c>
      <c r="BK21" s="256">
        <f>17697*40%/18*BJ21</f>
        <v>1966.3333333333333</v>
      </c>
      <c r="BL21" s="256">
        <f t="shared" si="17"/>
        <v>19148.153999999999</v>
      </c>
      <c r="BM21" s="256">
        <f t="shared" si="18"/>
        <v>367476.23866666661</v>
      </c>
      <c r="BN21" s="182"/>
      <c r="BO21" s="182"/>
    </row>
    <row r="22" spans="1:67" s="186" customFormat="1" ht="72.75" customHeight="1">
      <c r="A22" s="255" t="s">
        <v>231</v>
      </c>
      <c r="B22" s="255" t="s">
        <v>103</v>
      </c>
      <c r="C22" s="255" t="s">
        <v>232</v>
      </c>
      <c r="D22" s="255" t="s">
        <v>105</v>
      </c>
      <c r="E22" s="255" t="s">
        <v>103</v>
      </c>
      <c r="F22" s="255" t="s">
        <v>106</v>
      </c>
      <c r="G22" s="255">
        <v>5.41</v>
      </c>
      <c r="H22" s="256">
        <f t="shared" si="0"/>
        <v>143611.155</v>
      </c>
      <c r="I22" s="256"/>
      <c r="J22" s="256">
        <v>22</v>
      </c>
      <c r="K22" s="256">
        <v>5</v>
      </c>
      <c r="L22" s="256">
        <f t="shared" si="1"/>
        <v>0</v>
      </c>
      <c r="M22" s="256">
        <f t="shared" si="2"/>
        <v>175524.745</v>
      </c>
      <c r="N22" s="256">
        <f t="shared" si="3"/>
        <v>39891.987500000003</v>
      </c>
      <c r="O22" s="256" t="s">
        <v>233</v>
      </c>
      <c r="P22" s="256"/>
      <c r="Q22" s="256">
        <f>17697*60%/2</f>
        <v>5309.0999999999995</v>
      </c>
      <c r="R22" s="256"/>
      <c r="S22" s="257"/>
      <c r="T22" s="257"/>
      <c r="U22" s="257"/>
      <c r="V22" s="257">
        <v>22</v>
      </c>
      <c r="W22" s="257"/>
      <c r="X22" s="257"/>
      <c r="Y22" s="257"/>
      <c r="Z22" s="257">
        <v>4</v>
      </c>
      <c r="AA22" s="257"/>
      <c r="AB22" s="257"/>
      <c r="AC22" s="257">
        <f t="shared" si="4"/>
        <v>0</v>
      </c>
      <c r="AD22" s="257">
        <f t="shared" si="5"/>
        <v>0</v>
      </c>
      <c r="AE22" s="257">
        <f t="shared" si="6"/>
        <v>0</v>
      </c>
      <c r="AF22" s="257">
        <f t="shared" si="7"/>
        <v>8651.8666666666668</v>
      </c>
      <c r="AG22" s="257">
        <f t="shared" si="8"/>
        <v>0</v>
      </c>
      <c r="AH22" s="257">
        <f t="shared" si="9"/>
        <v>0</v>
      </c>
      <c r="AI22" s="257">
        <f t="shared" si="10"/>
        <v>0</v>
      </c>
      <c r="AJ22" s="257">
        <f t="shared" si="11"/>
        <v>1573.0666666666666</v>
      </c>
      <c r="AK22" s="257">
        <f t="shared" si="12"/>
        <v>0</v>
      </c>
      <c r="AL22" s="256">
        <f t="shared" si="13"/>
        <v>0</v>
      </c>
      <c r="AM22" s="256" t="s">
        <v>234</v>
      </c>
      <c r="AN22" s="256">
        <f>17697*20%</f>
        <v>3539.4</v>
      </c>
      <c r="AO22" s="256">
        <v>20</v>
      </c>
      <c r="AP22" s="256">
        <f t="shared" si="14"/>
        <v>3932.6666666666665</v>
      </c>
      <c r="AQ22" s="256"/>
      <c r="AR22" s="256"/>
      <c r="AS22" s="256"/>
      <c r="AT22" s="256"/>
      <c r="AU22" s="256"/>
      <c r="AV22" s="256"/>
      <c r="AW22" s="256"/>
      <c r="AX22" s="256"/>
      <c r="AY22" s="256"/>
      <c r="AZ22" s="256"/>
      <c r="BA22" s="256"/>
      <c r="BB22" s="256"/>
      <c r="BC22" s="261">
        <v>27</v>
      </c>
      <c r="BD22" s="256">
        <v>0.4</v>
      </c>
      <c r="BE22" s="259">
        <f t="shared" si="20"/>
        <v>86166.693000000014</v>
      </c>
      <c r="BF22" s="259">
        <v>27</v>
      </c>
      <c r="BG22" s="256">
        <f t="shared" si="16"/>
        <v>64625.019749999999</v>
      </c>
      <c r="BH22" s="256"/>
      <c r="BI22" s="256"/>
      <c r="BJ22" s="256"/>
      <c r="BK22" s="256">
        <f t="shared" ref="BK22:BK85" si="21">17697*40%/18*BJ22</f>
        <v>0</v>
      </c>
      <c r="BL22" s="256">
        <f t="shared" si="17"/>
        <v>21541.67325</v>
      </c>
      <c r="BM22" s="256">
        <f t="shared" si="18"/>
        <v>410756.21849999996</v>
      </c>
      <c r="BN22" s="182"/>
      <c r="BO22" s="182"/>
    </row>
    <row r="23" spans="1:67" s="186" customFormat="1" ht="72.75" customHeight="1">
      <c r="A23" s="255" t="s">
        <v>235</v>
      </c>
      <c r="B23" s="255" t="s">
        <v>103</v>
      </c>
      <c r="C23" s="255" t="s">
        <v>236</v>
      </c>
      <c r="D23" s="255" t="s">
        <v>132</v>
      </c>
      <c r="E23" s="255" t="s">
        <v>103</v>
      </c>
      <c r="F23" s="255" t="s">
        <v>106</v>
      </c>
      <c r="G23" s="255">
        <v>5.41</v>
      </c>
      <c r="H23" s="256">
        <f t="shared" si="0"/>
        <v>143611.155</v>
      </c>
      <c r="I23" s="256"/>
      <c r="J23" s="256">
        <v>14</v>
      </c>
      <c r="K23" s="256">
        <v>6</v>
      </c>
      <c r="L23" s="256">
        <f t="shared" si="1"/>
        <v>0</v>
      </c>
      <c r="M23" s="256">
        <f t="shared" si="2"/>
        <v>111697.565</v>
      </c>
      <c r="N23" s="256">
        <f t="shared" si="3"/>
        <v>47870.385000000002</v>
      </c>
      <c r="O23" s="256"/>
      <c r="P23" s="256"/>
      <c r="Q23" s="256"/>
      <c r="R23" s="256"/>
      <c r="S23" s="257"/>
      <c r="T23" s="257"/>
      <c r="U23" s="257"/>
      <c r="V23" s="257">
        <v>12</v>
      </c>
      <c r="W23" s="257"/>
      <c r="X23" s="257"/>
      <c r="Y23" s="257"/>
      <c r="Z23" s="257">
        <v>6</v>
      </c>
      <c r="AA23" s="257"/>
      <c r="AB23" s="257"/>
      <c r="AC23" s="257">
        <f t="shared" si="4"/>
        <v>0</v>
      </c>
      <c r="AD23" s="257">
        <f t="shared" si="5"/>
        <v>0</v>
      </c>
      <c r="AE23" s="257">
        <f t="shared" si="6"/>
        <v>0</v>
      </c>
      <c r="AF23" s="257">
        <f t="shared" si="7"/>
        <v>4719.2</v>
      </c>
      <c r="AG23" s="257">
        <f t="shared" si="8"/>
        <v>0</v>
      </c>
      <c r="AH23" s="257">
        <f t="shared" si="9"/>
        <v>0</v>
      </c>
      <c r="AI23" s="257">
        <f t="shared" si="10"/>
        <v>0</v>
      </c>
      <c r="AJ23" s="257">
        <f t="shared" si="11"/>
        <v>2359.6</v>
      </c>
      <c r="AK23" s="257">
        <f t="shared" si="12"/>
        <v>0</v>
      </c>
      <c r="AL23" s="256">
        <f t="shared" si="13"/>
        <v>0</v>
      </c>
      <c r="AM23" s="256" t="s">
        <v>237</v>
      </c>
      <c r="AN23" s="256">
        <f>17697*20%</f>
        <v>3539.4</v>
      </c>
      <c r="AO23" s="256">
        <v>17</v>
      </c>
      <c r="AP23" s="256">
        <f t="shared" si="14"/>
        <v>3342.7666666666664</v>
      </c>
      <c r="AQ23" s="256"/>
      <c r="AR23" s="256"/>
      <c r="AS23" s="256"/>
      <c r="AT23" s="256"/>
      <c r="AU23" s="256"/>
      <c r="AV23" s="256"/>
      <c r="AW23" s="256"/>
      <c r="AX23" s="256"/>
      <c r="AY23" s="256"/>
      <c r="AZ23" s="256"/>
      <c r="BA23" s="256"/>
      <c r="BB23" s="256"/>
      <c r="BC23" s="261"/>
      <c r="BD23" s="256"/>
      <c r="BE23" s="259"/>
      <c r="BF23" s="259">
        <v>20</v>
      </c>
      <c r="BG23" s="256">
        <f t="shared" si="16"/>
        <v>47870.385000000002</v>
      </c>
      <c r="BH23" s="256">
        <v>1</v>
      </c>
      <c r="BI23" s="260">
        <f>17697*100%</f>
        <v>17697</v>
      </c>
      <c r="BJ23" s="256">
        <v>2</v>
      </c>
      <c r="BK23" s="256">
        <f t="shared" si="21"/>
        <v>786.5333333333333</v>
      </c>
      <c r="BL23" s="256">
        <f t="shared" si="17"/>
        <v>15956.795000000002</v>
      </c>
      <c r="BM23" s="256">
        <f t="shared" si="18"/>
        <v>255839.63000000003</v>
      </c>
      <c r="BN23" s="182"/>
      <c r="BO23" s="182"/>
    </row>
    <row r="24" spans="1:67" s="186" customFormat="1" ht="72.75" customHeight="1">
      <c r="A24" s="255" t="s">
        <v>235</v>
      </c>
      <c r="B24" s="255" t="s">
        <v>103</v>
      </c>
      <c r="C24" s="255" t="s">
        <v>236</v>
      </c>
      <c r="D24" s="255" t="s">
        <v>238</v>
      </c>
      <c r="E24" s="255" t="s">
        <v>133</v>
      </c>
      <c r="F24" s="255" t="s">
        <v>134</v>
      </c>
      <c r="G24" s="255">
        <v>4.7300000000000004</v>
      </c>
      <c r="H24" s="256">
        <f t="shared" si="0"/>
        <v>125560.21500000003</v>
      </c>
      <c r="I24" s="260"/>
      <c r="J24" s="260">
        <v>5</v>
      </c>
      <c r="K24" s="260">
        <v>2</v>
      </c>
      <c r="L24" s="256">
        <f t="shared" si="1"/>
        <v>0</v>
      </c>
      <c r="M24" s="256">
        <f t="shared" si="2"/>
        <v>34877.837500000009</v>
      </c>
      <c r="N24" s="256">
        <f t="shared" si="3"/>
        <v>13951.135000000002</v>
      </c>
      <c r="O24" s="256" t="s">
        <v>239</v>
      </c>
      <c r="P24" s="256"/>
      <c r="Q24" s="256"/>
      <c r="R24" s="256">
        <f>17697*60%/2</f>
        <v>5309.0999999999995</v>
      </c>
      <c r="S24" s="257"/>
      <c r="T24" s="257"/>
      <c r="U24" s="257"/>
      <c r="V24" s="257"/>
      <c r="W24" s="257"/>
      <c r="X24" s="257"/>
      <c r="Y24" s="257"/>
      <c r="Z24" s="257"/>
      <c r="AA24" s="257"/>
      <c r="AB24" s="257"/>
      <c r="AC24" s="257">
        <f t="shared" si="4"/>
        <v>0</v>
      </c>
      <c r="AD24" s="257">
        <f t="shared" si="5"/>
        <v>0</v>
      </c>
      <c r="AE24" s="257">
        <f t="shared" si="6"/>
        <v>0</v>
      </c>
      <c r="AF24" s="257">
        <f t="shared" si="7"/>
        <v>0</v>
      </c>
      <c r="AG24" s="257">
        <f t="shared" si="8"/>
        <v>0</v>
      </c>
      <c r="AH24" s="257">
        <f t="shared" si="9"/>
        <v>0</v>
      </c>
      <c r="AI24" s="257">
        <f t="shared" si="10"/>
        <v>0</v>
      </c>
      <c r="AJ24" s="257">
        <f t="shared" si="11"/>
        <v>0</v>
      </c>
      <c r="AK24" s="257">
        <f t="shared" si="12"/>
        <v>0</v>
      </c>
      <c r="AL24" s="256">
        <f t="shared" si="13"/>
        <v>0</v>
      </c>
      <c r="AM24" s="256"/>
      <c r="AN24" s="256"/>
      <c r="AO24" s="256">
        <v>2</v>
      </c>
      <c r="AP24" s="256">
        <f t="shared" si="14"/>
        <v>393.26666666666665</v>
      </c>
      <c r="AQ24" s="256"/>
      <c r="AR24" s="256"/>
      <c r="AS24" s="256"/>
      <c r="AT24" s="256"/>
      <c r="AU24" s="256"/>
      <c r="AV24" s="256"/>
      <c r="AW24" s="256"/>
      <c r="AX24" s="256"/>
      <c r="AY24" s="256"/>
      <c r="AZ24" s="256"/>
      <c r="BA24" s="256"/>
      <c r="BB24" s="256"/>
      <c r="BC24" s="256"/>
      <c r="BD24" s="256"/>
      <c r="BE24" s="259"/>
      <c r="BF24" s="259">
        <v>7</v>
      </c>
      <c r="BG24" s="256">
        <f t="shared" si="16"/>
        <v>14648.69175</v>
      </c>
      <c r="BH24" s="256"/>
      <c r="BI24" s="256"/>
      <c r="BJ24" s="256">
        <v>1</v>
      </c>
      <c r="BK24" s="256">
        <f t="shared" si="21"/>
        <v>393.26666666666665</v>
      </c>
      <c r="BL24" s="256">
        <f t="shared" si="17"/>
        <v>4882.8972500000009</v>
      </c>
      <c r="BM24" s="256">
        <f t="shared" si="18"/>
        <v>74456.194833333342</v>
      </c>
      <c r="BN24" s="182"/>
      <c r="BO24" s="182"/>
    </row>
    <row r="25" spans="1:67" s="186" customFormat="1" ht="72.75" customHeight="1">
      <c r="A25" s="255" t="s">
        <v>240</v>
      </c>
      <c r="B25" s="255" t="s">
        <v>103</v>
      </c>
      <c r="C25" s="255" t="s">
        <v>241</v>
      </c>
      <c r="D25" s="255" t="s">
        <v>242</v>
      </c>
      <c r="E25" s="255" t="s">
        <v>103</v>
      </c>
      <c r="F25" s="255" t="s">
        <v>106</v>
      </c>
      <c r="G25" s="255">
        <v>5.41</v>
      </c>
      <c r="H25" s="256">
        <f t="shared" si="0"/>
        <v>143611.155</v>
      </c>
      <c r="I25" s="256"/>
      <c r="J25" s="256">
        <v>25</v>
      </c>
      <c r="K25" s="256"/>
      <c r="L25" s="256">
        <f t="shared" si="1"/>
        <v>0</v>
      </c>
      <c r="M25" s="256">
        <f t="shared" si="2"/>
        <v>199459.9375</v>
      </c>
      <c r="N25" s="256">
        <f t="shared" si="3"/>
        <v>0</v>
      </c>
      <c r="O25" s="256" t="s">
        <v>243</v>
      </c>
      <c r="P25" s="256"/>
      <c r="Q25" s="256">
        <f>17697*60%</f>
        <v>10618.199999999999</v>
      </c>
      <c r="R25" s="256"/>
      <c r="S25" s="257"/>
      <c r="T25" s="257"/>
      <c r="U25" s="257"/>
      <c r="V25" s="257"/>
      <c r="W25" s="257"/>
      <c r="X25" s="257"/>
      <c r="Y25" s="257"/>
      <c r="Z25" s="257"/>
      <c r="AA25" s="257"/>
      <c r="AB25" s="257"/>
      <c r="AC25" s="257">
        <f t="shared" si="4"/>
        <v>0</v>
      </c>
      <c r="AD25" s="257">
        <f t="shared" si="5"/>
        <v>0</v>
      </c>
      <c r="AE25" s="257">
        <f t="shared" si="6"/>
        <v>0</v>
      </c>
      <c r="AF25" s="257">
        <f t="shared" si="7"/>
        <v>0</v>
      </c>
      <c r="AG25" s="257">
        <f t="shared" si="8"/>
        <v>0</v>
      </c>
      <c r="AH25" s="257">
        <f t="shared" si="9"/>
        <v>0</v>
      </c>
      <c r="AI25" s="257">
        <f t="shared" si="10"/>
        <v>0</v>
      </c>
      <c r="AJ25" s="257">
        <f t="shared" si="11"/>
        <v>0</v>
      </c>
      <c r="AK25" s="257">
        <f t="shared" si="12"/>
        <v>0</v>
      </c>
      <c r="AL25" s="256">
        <f t="shared" si="13"/>
        <v>0</v>
      </c>
      <c r="AM25" s="256" t="s">
        <v>244</v>
      </c>
      <c r="AN25" s="256">
        <f>17697*20%</f>
        <v>3539.4</v>
      </c>
      <c r="AO25" s="256">
        <v>17</v>
      </c>
      <c r="AP25" s="256">
        <f t="shared" si="14"/>
        <v>3342.7666666666664</v>
      </c>
      <c r="AQ25" s="256"/>
      <c r="AR25" s="256"/>
      <c r="AS25" s="256"/>
      <c r="AT25" s="256"/>
      <c r="AU25" s="256"/>
      <c r="AV25" s="256"/>
      <c r="AW25" s="256"/>
      <c r="AX25" s="256"/>
      <c r="AY25" s="256"/>
      <c r="AZ25" s="256"/>
      <c r="BA25" s="256"/>
      <c r="BB25" s="256"/>
      <c r="BC25" s="261">
        <v>25</v>
      </c>
      <c r="BD25" s="259">
        <v>0.4</v>
      </c>
      <c r="BE25" s="259">
        <f t="shared" si="20"/>
        <v>79783.975000000006</v>
      </c>
      <c r="BF25" s="259">
        <v>25</v>
      </c>
      <c r="BG25" s="256">
        <f t="shared" si="16"/>
        <v>59837.981249999997</v>
      </c>
      <c r="BH25" s="256"/>
      <c r="BI25" s="256"/>
      <c r="BJ25" s="256">
        <v>2</v>
      </c>
      <c r="BK25" s="256">
        <f t="shared" si="21"/>
        <v>786.5333333333333</v>
      </c>
      <c r="BL25" s="256">
        <f t="shared" si="17"/>
        <v>19945.993750000001</v>
      </c>
      <c r="BM25" s="256">
        <f t="shared" si="18"/>
        <v>377314.78750000003</v>
      </c>
      <c r="BN25" s="182"/>
      <c r="BO25" s="182"/>
    </row>
    <row r="26" spans="1:67" s="186" customFormat="1" ht="72.75" customHeight="1">
      <c r="A26" s="255" t="s">
        <v>245</v>
      </c>
      <c r="B26" s="255" t="s">
        <v>103</v>
      </c>
      <c r="C26" s="255" t="s">
        <v>246</v>
      </c>
      <c r="D26" s="255" t="s">
        <v>109</v>
      </c>
      <c r="E26" s="255" t="s">
        <v>103</v>
      </c>
      <c r="F26" s="255" t="s">
        <v>106</v>
      </c>
      <c r="G26" s="255">
        <v>5.41</v>
      </c>
      <c r="H26" s="256">
        <f t="shared" si="0"/>
        <v>143611.155</v>
      </c>
      <c r="I26" s="256">
        <v>24</v>
      </c>
      <c r="J26" s="256">
        <v>3</v>
      </c>
      <c r="K26" s="256"/>
      <c r="L26" s="256">
        <f t="shared" si="1"/>
        <v>191481.54</v>
      </c>
      <c r="M26" s="256">
        <f t="shared" si="2"/>
        <v>23935.192500000001</v>
      </c>
      <c r="N26" s="256">
        <f t="shared" si="3"/>
        <v>0</v>
      </c>
      <c r="O26" s="256"/>
      <c r="P26" s="256"/>
      <c r="Q26" s="256"/>
      <c r="R26" s="256"/>
      <c r="S26" s="257">
        <v>24</v>
      </c>
      <c r="T26" s="257"/>
      <c r="U26" s="257"/>
      <c r="V26" s="257"/>
      <c r="W26" s="257">
        <v>3</v>
      </c>
      <c r="X26" s="257"/>
      <c r="Y26" s="257"/>
      <c r="Z26" s="257"/>
      <c r="AA26" s="257"/>
      <c r="AB26" s="257"/>
      <c r="AC26" s="257">
        <f t="shared" si="4"/>
        <v>5899</v>
      </c>
      <c r="AD26" s="257">
        <f t="shared" si="5"/>
        <v>0</v>
      </c>
      <c r="AE26" s="257">
        <f t="shared" si="6"/>
        <v>0</v>
      </c>
      <c r="AF26" s="257">
        <f t="shared" si="7"/>
        <v>0</v>
      </c>
      <c r="AG26" s="257">
        <f t="shared" si="8"/>
        <v>737.375</v>
      </c>
      <c r="AH26" s="257">
        <f t="shared" si="9"/>
        <v>0</v>
      </c>
      <c r="AI26" s="257">
        <f t="shared" si="10"/>
        <v>0</v>
      </c>
      <c r="AJ26" s="257">
        <f t="shared" si="11"/>
        <v>0</v>
      </c>
      <c r="AK26" s="257">
        <f t="shared" si="12"/>
        <v>0</v>
      </c>
      <c r="AL26" s="256">
        <f t="shared" si="13"/>
        <v>0</v>
      </c>
      <c r="AM26" s="256"/>
      <c r="AN26" s="256"/>
      <c r="AO26" s="256">
        <v>16</v>
      </c>
      <c r="AP26" s="256">
        <f t="shared" si="14"/>
        <v>3146.1333333333332</v>
      </c>
      <c r="AQ26" s="256"/>
      <c r="AR26" s="256"/>
      <c r="AS26" s="256"/>
      <c r="AT26" s="256"/>
      <c r="AU26" s="256"/>
      <c r="AV26" s="256"/>
      <c r="AW26" s="256"/>
      <c r="AX26" s="256"/>
      <c r="AY26" s="256"/>
      <c r="AZ26" s="256"/>
      <c r="BA26" s="256"/>
      <c r="BB26" s="256"/>
      <c r="BC26" s="261">
        <v>27</v>
      </c>
      <c r="BD26" s="256">
        <v>0.4</v>
      </c>
      <c r="BE26" s="259">
        <f t="shared" si="20"/>
        <v>86166.693000000014</v>
      </c>
      <c r="BF26" s="256">
        <v>27</v>
      </c>
      <c r="BG26" s="256">
        <f t="shared" si="16"/>
        <v>64625.019749999999</v>
      </c>
      <c r="BH26" s="256"/>
      <c r="BI26" s="256"/>
      <c r="BJ26" s="256"/>
      <c r="BK26" s="256">
        <f t="shared" si="21"/>
        <v>0</v>
      </c>
      <c r="BL26" s="256">
        <f t="shared" si="17"/>
        <v>21541.673250000003</v>
      </c>
      <c r="BM26" s="256">
        <f t="shared" si="18"/>
        <v>397532.62683333334</v>
      </c>
      <c r="BN26" s="182"/>
      <c r="BO26" s="182"/>
    </row>
    <row r="27" spans="1:67" s="186" customFormat="1" ht="72.75" customHeight="1">
      <c r="A27" s="255" t="s">
        <v>247</v>
      </c>
      <c r="B27" s="255" t="s">
        <v>103</v>
      </c>
      <c r="C27" s="255" t="s">
        <v>248</v>
      </c>
      <c r="D27" s="255" t="s">
        <v>249</v>
      </c>
      <c r="E27" s="255" t="s">
        <v>103</v>
      </c>
      <c r="F27" s="255" t="s">
        <v>106</v>
      </c>
      <c r="G27" s="255">
        <v>5.41</v>
      </c>
      <c r="H27" s="256">
        <f t="shared" si="0"/>
        <v>143611.155</v>
      </c>
      <c r="I27" s="256"/>
      <c r="J27" s="256">
        <v>21</v>
      </c>
      <c r="K27" s="256">
        <v>6</v>
      </c>
      <c r="L27" s="256">
        <f t="shared" si="1"/>
        <v>0</v>
      </c>
      <c r="M27" s="256">
        <f t="shared" si="2"/>
        <v>167546.3475</v>
      </c>
      <c r="N27" s="256">
        <f t="shared" si="3"/>
        <v>47870.385000000002</v>
      </c>
      <c r="O27" s="256"/>
      <c r="P27" s="256"/>
      <c r="Q27" s="256"/>
      <c r="R27" s="256"/>
      <c r="S27" s="257"/>
      <c r="T27" s="257"/>
      <c r="U27" s="257"/>
      <c r="V27" s="257"/>
      <c r="W27" s="257"/>
      <c r="X27" s="257"/>
      <c r="Y27" s="257"/>
      <c r="Z27" s="257"/>
      <c r="AA27" s="257"/>
      <c r="AB27" s="257"/>
      <c r="AC27" s="257">
        <f t="shared" si="4"/>
        <v>0</v>
      </c>
      <c r="AD27" s="257">
        <f t="shared" si="5"/>
        <v>0</v>
      </c>
      <c r="AE27" s="257">
        <f t="shared" si="6"/>
        <v>0</v>
      </c>
      <c r="AF27" s="257">
        <f t="shared" si="7"/>
        <v>0</v>
      </c>
      <c r="AG27" s="257">
        <f t="shared" si="8"/>
        <v>0</v>
      </c>
      <c r="AH27" s="257">
        <f t="shared" si="9"/>
        <v>0</v>
      </c>
      <c r="AI27" s="257">
        <f t="shared" si="10"/>
        <v>0</v>
      </c>
      <c r="AJ27" s="257">
        <f t="shared" si="11"/>
        <v>0</v>
      </c>
      <c r="AK27" s="257">
        <f t="shared" si="12"/>
        <v>0</v>
      </c>
      <c r="AL27" s="256">
        <f t="shared" si="13"/>
        <v>0</v>
      </c>
      <c r="AM27" s="256"/>
      <c r="AN27" s="256"/>
      <c r="AO27" s="256">
        <v>21</v>
      </c>
      <c r="AP27" s="256">
        <f t="shared" si="14"/>
        <v>4129.3</v>
      </c>
      <c r="AQ27" s="256"/>
      <c r="AR27" s="256"/>
      <c r="AS27" s="256"/>
      <c r="AT27" s="256"/>
      <c r="AU27" s="256"/>
      <c r="AV27" s="256"/>
      <c r="AW27" s="256"/>
      <c r="AX27" s="256"/>
      <c r="AY27" s="256"/>
      <c r="AZ27" s="256"/>
      <c r="BA27" s="256"/>
      <c r="BB27" s="256"/>
      <c r="BC27" s="261"/>
      <c r="BD27" s="256"/>
      <c r="BE27" s="259"/>
      <c r="BF27" s="259">
        <v>27</v>
      </c>
      <c r="BG27" s="256">
        <f t="shared" si="16"/>
        <v>64625.019749999999</v>
      </c>
      <c r="BH27" s="256"/>
      <c r="BI27" s="256"/>
      <c r="BJ27" s="256"/>
      <c r="BK27" s="256">
        <f t="shared" si="21"/>
        <v>0</v>
      </c>
      <c r="BL27" s="256">
        <f t="shared" si="17"/>
        <v>21541.673250000003</v>
      </c>
      <c r="BM27" s="256">
        <f t="shared" si="18"/>
        <v>305712.7255</v>
      </c>
      <c r="BN27" s="182"/>
      <c r="BO27" s="182"/>
    </row>
    <row r="28" spans="1:67" s="186" customFormat="1" ht="72.75" customHeight="1">
      <c r="A28" s="255" t="s">
        <v>250</v>
      </c>
      <c r="B28" s="255" t="s">
        <v>103</v>
      </c>
      <c r="C28" s="255" t="s">
        <v>251</v>
      </c>
      <c r="D28" s="255" t="s">
        <v>252</v>
      </c>
      <c r="E28" s="255" t="s">
        <v>103</v>
      </c>
      <c r="F28" s="255" t="s">
        <v>106</v>
      </c>
      <c r="G28" s="255">
        <v>5.41</v>
      </c>
      <c r="H28" s="256">
        <f t="shared" si="0"/>
        <v>143611.155</v>
      </c>
      <c r="I28" s="256">
        <v>15</v>
      </c>
      <c r="J28" s="256">
        <v>12</v>
      </c>
      <c r="K28" s="256"/>
      <c r="L28" s="256">
        <f t="shared" si="1"/>
        <v>119675.96249999999</v>
      </c>
      <c r="M28" s="256">
        <f t="shared" si="2"/>
        <v>95740.77</v>
      </c>
      <c r="N28" s="256">
        <f t="shared" si="3"/>
        <v>0</v>
      </c>
      <c r="O28" s="256" t="s">
        <v>253</v>
      </c>
      <c r="P28" s="256"/>
      <c r="Q28" s="256">
        <f>17697*60%</f>
        <v>10618.199999999999</v>
      </c>
      <c r="R28" s="256"/>
      <c r="S28" s="257"/>
      <c r="T28" s="257"/>
      <c r="U28" s="257"/>
      <c r="V28" s="257"/>
      <c r="W28" s="257"/>
      <c r="X28" s="257"/>
      <c r="Y28" s="257"/>
      <c r="Z28" s="257"/>
      <c r="AA28" s="257"/>
      <c r="AB28" s="257"/>
      <c r="AC28" s="257">
        <f t="shared" si="4"/>
        <v>0</v>
      </c>
      <c r="AD28" s="257">
        <f t="shared" si="5"/>
        <v>0</v>
      </c>
      <c r="AE28" s="257">
        <f t="shared" si="6"/>
        <v>0</v>
      </c>
      <c r="AF28" s="257">
        <f t="shared" si="7"/>
        <v>0</v>
      </c>
      <c r="AG28" s="257">
        <f t="shared" si="8"/>
        <v>0</v>
      </c>
      <c r="AH28" s="257">
        <f t="shared" si="9"/>
        <v>0</v>
      </c>
      <c r="AI28" s="257">
        <f t="shared" si="10"/>
        <v>0</v>
      </c>
      <c r="AJ28" s="257">
        <f t="shared" si="11"/>
        <v>0</v>
      </c>
      <c r="AK28" s="257">
        <f t="shared" si="12"/>
        <v>0</v>
      </c>
      <c r="AL28" s="256">
        <f t="shared" si="13"/>
        <v>0</v>
      </c>
      <c r="AM28" s="256" t="s">
        <v>254</v>
      </c>
      <c r="AN28" s="256">
        <f>17697*20%</f>
        <v>3539.4</v>
      </c>
      <c r="AO28" s="256">
        <v>12</v>
      </c>
      <c r="AP28" s="256">
        <f t="shared" si="14"/>
        <v>2359.6</v>
      </c>
      <c r="AQ28" s="256"/>
      <c r="AR28" s="256"/>
      <c r="AS28" s="256"/>
      <c r="AT28" s="256"/>
      <c r="AU28" s="256"/>
      <c r="AV28" s="256"/>
      <c r="AW28" s="256"/>
      <c r="AX28" s="256"/>
      <c r="AY28" s="256"/>
      <c r="AZ28" s="256"/>
      <c r="BA28" s="256"/>
      <c r="BB28" s="256"/>
      <c r="BC28" s="261">
        <v>27</v>
      </c>
      <c r="BD28" s="256">
        <v>0.4</v>
      </c>
      <c r="BE28" s="259">
        <f t="shared" si="20"/>
        <v>86166.693000000014</v>
      </c>
      <c r="BF28" s="256">
        <v>27</v>
      </c>
      <c r="BG28" s="256">
        <f t="shared" si="16"/>
        <v>64625.019749999999</v>
      </c>
      <c r="BH28" s="256"/>
      <c r="BI28" s="256"/>
      <c r="BJ28" s="256"/>
      <c r="BK28" s="256">
        <f t="shared" si="21"/>
        <v>0</v>
      </c>
      <c r="BL28" s="256">
        <f t="shared" si="17"/>
        <v>21541.67325</v>
      </c>
      <c r="BM28" s="256">
        <f t="shared" si="18"/>
        <v>404267.31849999999</v>
      </c>
      <c r="BN28" s="182"/>
      <c r="BO28" s="182"/>
    </row>
    <row r="29" spans="1:67" s="186" customFormat="1" ht="72.75" customHeight="1">
      <c r="A29" s="255" t="s">
        <v>255</v>
      </c>
      <c r="B29" s="255" t="s">
        <v>103</v>
      </c>
      <c r="C29" s="255" t="s">
        <v>256</v>
      </c>
      <c r="D29" s="255" t="s">
        <v>140</v>
      </c>
      <c r="E29" s="255" t="s">
        <v>103</v>
      </c>
      <c r="F29" s="255" t="s">
        <v>106</v>
      </c>
      <c r="G29" s="255">
        <v>5.41</v>
      </c>
      <c r="H29" s="256">
        <f t="shared" si="0"/>
        <v>143611.155</v>
      </c>
      <c r="I29" s="256">
        <v>22</v>
      </c>
      <c r="J29" s="256"/>
      <c r="K29" s="256"/>
      <c r="L29" s="256">
        <f t="shared" si="1"/>
        <v>175524.745</v>
      </c>
      <c r="M29" s="256">
        <f t="shared" si="2"/>
        <v>0</v>
      </c>
      <c r="N29" s="256">
        <f t="shared" si="3"/>
        <v>0</v>
      </c>
      <c r="O29" s="256" t="s">
        <v>257</v>
      </c>
      <c r="P29" s="259">
        <f>17697*50%</f>
        <v>8848.5</v>
      </c>
      <c r="Q29" s="256"/>
      <c r="R29" s="256"/>
      <c r="S29" s="257"/>
      <c r="T29" s="257">
        <v>15</v>
      </c>
      <c r="U29" s="257"/>
      <c r="V29" s="257"/>
      <c r="W29" s="257"/>
      <c r="X29" s="257"/>
      <c r="Y29" s="257"/>
      <c r="Z29" s="257"/>
      <c r="AA29" s="257"/>
      <c r="AB29" s="257"/>
      <c r="AC29" s="257">
        <f t="shared" si="4"/>
        <v>0</v>
      </c>
      <c r="AD29" s="257">
        <f t="shared" si="5"/>
        <v>5899</v>
      </c>
      <c r="AE29" s="257">
        <f t="shared" si="6"/>
        <v>0</v>
      </c>
      <c r="AF29" s="257">
        <f t="shared" si="7"/>
        <v>0</v>
      </c>
      <c r="AG29" s="257">
        <f t="shared" si="8"/>
        <v>0</v>
      </c>
      <c r="AH29" s="257">
        <f t="shared" si="9"/>
        <v>0</v>
      </c>
      <c r="AI29" s="257">
        <f t="shared" si="10"/>
        <v>0</v>
      </c>
      <c r="AJ29" s="257">
        <f t="shared" si="11"/>
        <v>0</v>
      </c>
      <c r="AK29" s="257">
        <f t="shared" si="12"/>
        <v>0</v>
      </c>
      <c r="AL29" s="256">
        <f t="shared" si="13"/>
        <v>0</v>
      </c>
      <c r="AM29" s="256"/>
      <c r="AN29" s="256"/>
      <c r="AO29" s="256">
        <v>22</v>
      </c>
      <c r="AP29" s="256">
        <f t="shared" si="14"/>
        <v>4325.9333333333334</v>
      </c>
      <c r="AQ29" s="256"/>
      <c r="AR29" s="256"/>
      <c r="AS29" s="256"/>
      <c r="AT29" s="256"/>
      <c r="AU29" s="256"/>
      <c r="AV29" s="256"/>
      <c r="AW29" s="256"/>
      <c r="AX29" s="256"/>
      <c r="AY29" s="256"/>
      <c r="AZ29" s="256"/>
      <c r="BA29" s="256"/>
      <c r="BB29" s="256"/>
      <c r="BC29" s="261">
        <v>22</v>
      </c>
      <c r="BD29" s="256">
        <v>0.4</v>
      </c>
      <c r="BE29" s="259">
        <f t="shared" si="20"/>
        <v>70209.898000000016</v>
      </c>
      <c r="BF29" s="259">
        <v>22</v>
      </c>
      <c r="BG29" s="256">
        <f t="shared" si="16"/>
        <v>52657.423499999997</v>
      </c>
      <c r="BH29" s="256"/>
      <c r="BI29" s="256"/>
      <c r="BJ29" s="256"/>
      <c r="BK29" s="256">
        <f t="shared" si="21"/>
        <v>0</v>
      </c>
      <c r="BL29" s="256">
        <f t="shared" si="17"/>
        <v>17552.4745</v>
      </c>
      <c r="BM29" s="256">
        <f t="shared" si="18"/>
        <v>335017.97433333332</v>
      </c>
      <c r="BN29" s="182"/>
      <c r="BO29" s="182"/>
    </row>
    <row r="30" spans="1:67" s="186" customFormat="1" ht="72.75" customHeight="1">
      <c r="A30" s="255" t="s">
        <v>258</v>
      </c>
      <c r="B30" s="255" t="s">
        <v>103</v>
      </c>
      <c r="C30" s="255" t="s">
        <v>259</v>
      </c>
      <c r="D30" s="255" t="s">
        <v>140</v>
      </c>
      <c r="E30" s="255" t="s">
        <v>103</v>
      </c>
      <c r="F30" s="255" t="s">
        <v>106</v>
      </c>
      <c r="G30" s="255">
        <v>5.41</v>
      </c>
      <c r="H30" s="256">
        <f t="shared" si="0"/>
        <v>143611.155</v>
      </c>
      <c r="I30" s="256">
        <v>27</v>
      </c>
      <c r="J30" s="256"/>
      <c r="K30" s="256"/>
      <c r="L30" s="256">
        <f t="shared" si="1"/>
        <v>215416.73250000001</v>
      </c>
      <c r="M30" s="256">
        <f t="shared" si="2"/>
        <v>0</v>
      </c>
      <c r="N30" s="256">
        <f t="shared" si="3"/>
        <v>0</v>
      </c>
      <c r="O30" s="256" t="s">
        <v>260</v>
      </c>
      <c r="P30" s="259">
        <f>17697*50%</f>
        <v>8848.5</v>
      </c>
      <c r="Q30" s="256"/>
      <c r="R30" s="256"/>
      <c r="S30" s="257"/>
      <c r="T30" s="257">
        <v>27</v>
      </c>
      <c r="U30" s="257"/>
      <c r="V30" s="257"/>
      <c r="W30" s="257"/>
      <c r="X30" s="257"/>
      <c r="Y30" s="257"/>
      <c r="Z30" s="257"/>
      <c r="AA30" s="257"/>
      <c r="AB30" s="257"/>
      <c r="AC30" s="257">
        <f t="shared" si="4"/>
        <v>0</v>
      </c>
      <c r="AD30" s="257">
        <f t="shared" si="5"/>
        <v>10618.199999999999</v>
      </c>
      <c r="AE30" s="257">
        <f t="shared" si="6"/>
        <v>0</v>
      </c>
      <c r="AF30" s="257">
        <f t="shared" si="7"/>
        <v>0</v>
      </c>
      <c r="AG30" s="257">
        <f t="shared" si="8"/>
        <v>0</v>
      </c>
      <c r="AH30" s="257">
        <f t="shared" si="9"/>
        <v>0</v>
      </c>
      <c r="AI30" s="257">
        <f t="shared" si="10"/>
        <v>0</v>
      </c>
      <c r="AJ30" s="257">
        <f t="shared" si="11"/>
        <v>0</v>
      </c>
      <c r="AK30" s="257">
        <f t="shared" si="12"/>
        <v>0</v>
      </c>
      <c r="AL30" s="256">
        <f t="shared" si="13"/>
        <v>0</v>
      </c>
      <c r="AM30" s="256" t="s">
        <v>261</v>
      </c>
      <c r="AN30" s="256">
        <f>17697*20%</f>
        <v>3539.4</v>
      </c>
      <c r="AO30" s="256">
        <v>27</v>
      </c>
      <c r="AP30" s="256">
        <f t="shared" si="14"/>
        <v>5309.0999999999995</v>
      </c>
      <c r="AQ30" s="256"/>
      <c r="AR30" s="256"/>
      <c r="AS30" s="256"/>
      <c r="AT30" s="256"/>
      <c r="AU30" s="256"/>
      <c r="AV30" s="256"/>
      <c r="AW30" s="256"/>
      <c r="AX30" s="256"/>
      <c r="AY30" s="256"/>
      <c r="AZ30" s="256"/>
      <c r="BA30" s="256"/>
      <c r="BB30" s="256"/>
      <c r="BC30" s="261">
        <v>27</v>
      </c>
      <c r="BD30" s="256">
        <v>0.4</v>
      </c>
      <c r="BE30" s="259">
        <f t="shared" si="20"/>
        <v>86166.693000000014</v>
      </c>
      <c r="BF30" s="256">
        <v>27</v>
      </c>
      <c r="BG30" s="256">
        <f t="shared" si="16"/>
        <v>64625.019749999999</v>
      </c>
      <c r="BH30" s="256"/>
      <c r="BI30" s="256"/>
      <c r="BJ30" s="256"/>
      <c r="BK30" s="256">
        <f t="shared" si="21"/>
        <v>0</v>
      </c>
      <c r="BL30" s="256">
        <f t="shared" si="17"/>
        <v>21541.673250000003</v>
      </c>
      <c r="BM30" s="256">
        <f t="shared" si="18"/>
        <v>416065.31849999999</v>
      </c>
      <c r="BN30" s="182"/>
      <c r="BO30" s="182"/>
    </row>
    <row r="31" spans="1:67" s="186" customFormat="1" ht="72.75" customHeight="1">
      <c r="A31" s="192" t="s">
        <v>262</v>
      </c>
      <c r="B31" s="255" t="s">
        <v>103</v>
      </c>
      <c r="C31" s="255" t="s">
        <v>263</v>
      </c>
      <c r="D31" s="192" t="s">
        <v>249</v>
      </c>
      <c r="E31" s="255" t="s">
        <v>103</v>
      </c>
      <c r="F31" s="255" t="s">
        <v>106</v>
      </c>
      <c r="G31" s="255">
        <v>5.41</v>
      </c>
      <c r="H31" s="256">
        <f t="shared" si="0"/>
        <v>143611.155</v>
      </c>
      <c r="I31" s="264"/>
      <c r="J31" s="264">
        <v>24</v>
      </c>
      <c r="K31" s="264">
        <v>3</v>
      </c>
      <c r="L31" s="256">
        <f t="shared" si="1"/>
        <v>0</v>
      </c>
      <c r="M31" s="256">
        <f t="shared" si="2"/>
        <v>191481.54</v>
      </c>
      <c r="N31" s="256">
        <f t="shared" si="3"/>
        <v>23935.192500000001</v>
      </c>
      <c r="O31" s="264"/>
      <c r="P31" s="256"/>
      <c r="Q31" s="256"/>
      <c r="R31" s="256"/>
      <c r="S31" s="265"/>
      <c r="T31" s="257"/>
      <c r="U31" s="257"/>
      <c r="V31" s="265"/>
      <c r="W31" s="265"/>
      <c r="X31" s="265"/>
      <c r="Y31" s="265"/>
      <c r="Z31" s="265"/>
      <c r="AA31" s="265"/>
      <c r="AB31" s="265"/>
      <c r="AC31" s="257">
        <f t="shared" si="4"/>
        <v>0</v>
      </c>
      <c r="AD31" s="257">
        <f t="shared" si="5"/>
        <v>0</v>
      </c>
      <c r="AE31" s="257">
        <f t="shared" si="6"/>
        <v>0</v>
      </c>
      <c r="AF31" s="257">
        <f t="shared" si="7"/>
        <v>0</v>
      </c>
      <c r="AG31" s="257">
        <f t="shared" si="8"/>
        <v>0</v>
      </c>
      <c r="AH31" s="257">
        <f t="shared" si="9"/>
        <v>0</v>
      </c>
      <c r="AI31" s="257">
        <f t="shared" si="10"/>
        <v>0</v>
      </c>
      <c r="AJ31" s="257">
        <f t="shared" si="11"/>
        <v>0</v>
      </c>
      <c r="AK31" s="257">
        <f t="shared" si="12"/>
        <v>0</v>
      </c>
      <c r="AL31" s="256">
        <f t="shared" si="13"/>
        <v>0</v>
      </c>
      <c r="AM31" s="264"/>
      <c r="AN31" s="256"/>
      <c r="AO31" s="264">
        <v>9</v>
      </c>
      <c r="AP31" s="256">
        <f t="shared" si="14"/>
        <v>1769.6999999999998</v>
      </c>
      <c r="AQ31" s="264"/>
      <c r="AR31" s="256"/>
      <c r="AS31" s="256"/>
      <c r="AT31" s="256"/>
      <c r="AU31" s="256"/>
      <c r="AV31" s="256"/>
      <c r="AW31" s="256"/>
      <c r="AX31" s="256"/>
      <c r="AY31" s="256"/>
      <c r="AZ31" s="256"/>
      <c r="BA31" s="256"/>
      <c r="BB31" s="256"/>
      <c r="BC31" s="261"/>
      <c r="BD31" s="256"/>
      <c r="BE31" s="259"/>
      <c r="BF31" s="266">
        <v>27</v>
      </c>
      <c r="BG31" s="256">
        <f t="shared" si="16"/>
        <v>64625.019749999999</v>
      </c>
      <c r="BH31" s="256"/>
      <c r="BI31" s="256"/>
      <c r="BJ31" s="256"/>
      <c r="BK31" s="256">
        <f t="shared" si="21"/>
        <v>0</v>
      </c>
      <c r="BL31" s="256">
        <f t="shared" si="17"/>
        <v>21541.673250000003</v>
      </c>
      <c r="BM31" s="256">
        <f t="shared" si="18"/>
        <v>303353.12550000002</v>
      </c>
      <c r="BN31" s="182"/>
      <c r="BO31" s="182"/>
    </row>
    <row r="32" spans="1:67" s="186" customFormat="1" ht="72.75" customHeight="1">
      <c r="A32" s="255" t="s">
        <v>264</v>
      </c>
      <c r="B32" s="255" t="s">
        <v>103</v>
      </c>
      <c r="C32" s="255" t="s">
        <v>265</v>
      </c>
      <c r="D32" s="255" t="s">
        <v>105</v>
      </c>
      <c r="E32" s="255" t="s">
        <v>103</v>
      </c>
      <c r="F32" s="255" t="s">
        <v>106</v>
      </c>
      <c r="G32" s="255">
        <v>5.41</v>
      </c>
      <c r="H32" s="256">
        <f t="shared" si="0"/>
        <v>143611.155</v>
      </c>
      <c r="I32" s="256"/>
      <c r="J32" s="256">
        <v>5</v>
      </c>
      <c r="K32" s="256">
        <v>22</v>
      </c>
      <c r="L32" s="256">
        <f t="shared" si="1"/>
        <v>0</v>
      </c>
      <c r="M32" s="256">
        <f t="shared" si="2"/>
        <v>39891.987500000003</v>
      </c>
      <c r="N32" s="256">
        <f t="shared" si="3"/>
        <v>175524.745</v>
      </c>
      <c r="O32" s="256"/>
      <c r="P32" s="256"/>
      <c r="Q32" s="256"/>
      <c r="R32" s="256"/>
      <c r="S32" s="257"/>
      <c r="T32" s="265"/>
      <c r="U32" s="265"/>
      <c r="V32" s="257">
        <v>5</v>
      </c>
      <c r="W32" s="257"/>
      <c r="X32" s="257"/>
      <c r="Y32" s="257"/>
      <c r="Z32" s="257">
        <v>18</v>
      </c>
      <c r="AA32" s="257"/>
      <c r="AB32" s="257"/>
      <c r="AC32" s="257">
        <f t="shared" si="4"/>
        <v>0</v>
      </c>
      <c r="AD32" s="257">
        <f t="shared" si="5"/>
        <v>0</v>
      </c>
      <c r="AE32" s="257">
        <f t="shared" si="6"/>
        <v>0</v>
      </c>
      <c r="AF32" s="257">
        <f t="shared" si="7"/>
        <v>1966.3333333333333</v>
      </c>
      <c r="AG32" s="257">
        <f t="shared" si="8"/>
        <v>0</v>
      </c>
      <c r="AH32" s="257">
        <f t="shared" si="9"/>
        <v>0</v>
      </c>
      <c r="AI32" s="257">
        <f t="shared" si="10"/>
        <v>0</v>
      </c>
      <c r="AJ32" s="257">
        <f t="shared" si="11"/>
        <v>7078.7999999999993</v>
      </c>
      <c r="AK32" s="257">
        <f t="shared" si="12"/>
        <v>0</v>
      </c>
      <c r="AL32" s="256">
        <f t="shared" si="13"/>
        <v>0</v>
      </c>
      <c r="AM32" s="256"/>
      <c r="AN32" s="256"/>
      <c r="AO32" s="256">
        <v>27</v>
      </c>
      <c r="AP32" s="256">
        <f t="shared" si="14"/>
        <v>5309.0999999999995</v>
      </c>
      <c r="AQ32" s="256"/>
      <c r="AR32" s="256"/>
      <c r="AS32" s="256"/>
      <c r="AT32" s="256"/>
      <c r="AU32" s="256"/>
      <c r="AV32" s="256"/>
      <c r="AW32" s="256"/>
      <c r="AX32" s="256"/>
      <c r="AY32" s="256"/>
      <c r="AZ32" s="256"/>
      <c r="BA32" s="256"/>
      <c r="BB32" s="256"/>
      <c r="BC32" s="261">
        <v>27</v>
      </c>
      <c r="BD32" s="256">
        <v>0.4</v>
      </c>
      <c r="BE32" s="259">
        <f t="shared" si="20"/>
        <v>86166.693000000014</v>
      </c>
      <c r="BF32" s="256">
        <v>27</v>
      </c>
      <c r="BG32" s="256">
        <f t="shared" si="16"/>
        <v>64625.019749999999</v>
      </c>
      <c r="BH32" s="256"/>
      <c r="BI32" s="256"/>
      <c r="BJ32" s="256">
        <v>12</v>
      </c>
      <c r="BK32" s="256">
        <f t="shared" si="21"/>
        <v>4719.2</v>
      </c>
      <c r="BL32" s="256">
        <f t="shared" si="17"/>
        <v>21541.67325</v>
      </c>
      <c r="BM32" s="256">
        <f t="shared" si="18"/>
        <v>406823.55183333333</v>
      </c>
      <c r="BN32" s="182"/>
      <c r="BO32" s="182"/>
    </row>
    <row r="33" spans="1:67" s="186" customFormat="1" ht="72.75" customHeight="1">
      <c r="A33" s="255" t="s">
        <v>266</v>
      </c>
      <c r="B33" s="255" t="s">
        <v>103</v>
      </c>
      <c r="C33" s="255" t="s">
        <v>267</v>
      </c>
      <c r="D33" s="255" t="s">
        <v>140</v>
      </c>
      <c r="E33" s="255" t="s">
        <v>103</v>
      </c>
      <c r="F33" s="255" t="s">
        <v>106</v>
      </c>
      <c r="G33" s="255">
        <v>5.41</v>
      </c>
      <c r="H33" s="256">
        <f t="shared" si="0"/>
        <v>143611.155</v>
      </c>
      <c r="I33" s="256">
        <v>22</v>
      </c>
      <c r="J33" s="256"/>
      <c r="K33" s="256"/>
      <c r="L33" s="256">
        <f t="shared" si="1"/>
        <v>175524.745</v>
      </c>
      <c r="M33" s="256">
        <f t="shared" si="2"/>
        <v>0</v>
      </c>
      <c r="N33" s="256">
        <f t="shared" si="3"/>
        <v>0</v>
      </c>
      <c r="O33" s="256" t="s">
        <v>268</v>
      </c>
      <c r="P33" s="259">
        <f>17697*50%</f>
        <v>8848.5</v>
      </c>
      <c r="Q33" s="256"/>
      <c r="R33" s="256"/>
      <c r="S33" s="257"/>
      <c r="T33" s="257">
        <v>15</v>
      </c>
      <c r="U33" s="257"/>
      <c r="V33" s="257"/>
      <c r="W33" s="257"/>
      <c r="X33" s="257"/>
      <c r="Y33" s="257"/>
      <c r="Z33" s="257"/>
      <c r="AA33" s="257"/>
      <c r="AB33" s="257"/>
      <c r="AC33" s="257">
        <f t="shared" si="4"/>
        <v>0</v>
      </c>
      <c r="AD33" s="257">
        <f t="shared" si="5"/>
        <v>5899</v>
      </c>
      <c r="AE33" s="257">
        <f t="shared" si="6"/>
        <v>0</v>
      </c>
      <c r="AF33" s="257">
        <f t="shared" si="7"/>
        <v>0</v>
      </c>
      <c r="AG33" s="257">
        <f t="shared" si="8"/>
        <v>0</v>
      </c>
      <c r="AH33" s="257">
        <f t="shared" si="9"/>
        <v>0</v>
      </c>
      <c r="AI33" s="257">
        <f t="shared" si="10"/>
        <v>0</v>
      </c>
      <c r="AJ33" s="257">
        <f t="shared" si="11"/>
        <v>0</v>
      </c>
      <c r="AK33" s="257">
        <f t="shared" si="12"/>
        <v>0</v>
      </c>
      <c r="AL33" s="256">
        <f t="shared" si="13"/>
        <v>0</v>
      </c>
      <c r="AM33" s="256"/>
      <c r="AN33" s="256"/>
      <c r="AO33" s="256">
        <v>22</v>
      </c>
      <c r="AP33" s="256">
        <f t="shared" si="14"/>
        <v>4325.9333333333334</v>
      </c>
      <c r="AQ33" s="256"/>
      <c r="AR33" s="256"/>
      <c r="AS33" s="256"/>
      <c r="AT33" s="256"/>
      <c r="AU33" s="256"/>
      <c r="AV33" s="256"/>
      <c r="AW33" s="256"/>
      <c r="AX33" s="256"/>
      <c r="AY33" s="256"/>
      <c r="AZ33" s="256"/>
      <c r="BA33" s="256"/>
      <c r="BB33" s="256"/>
      <c r="BC33" s="261">
        <v>22</v>
      </c>
      <c r="BD33" s="256">
        <v>0.4</v>
      </c>
      <c r="BE33" s="259">
        <f t="shared" si="20"/>
        <v>70209.898000000016</v>
      </c>
      <c r="BF33" s="256">
        <v>22</v>
      </c>
      <c r="BG33" s="256">
        <f t="shared" si="16"/>
        <v>52657.423499999997</v>
      </c>
      <c r="BH33" s="256"/>
      <c r="BI33" s="256"/>
      <c r="BJ33" s="256"/>
      <c r="BK33" s="256">
        <f t="shared" si="21"/>
        <v>0</v>
      </c>
      <c r="BL33" s="256">
        <f t="shared" si="17"/>
        <v>17552.4745</v>
      </c>
      <c r="BM33" s="256">
        <f t="shared" si="18"/>
        <v>335017.97433333332</v>
      </c>
      <c r="BN33" s="182"/>
      <c r="BO33" s="182"/>
    </row>
    <row r="34" spans="1:67" s="186" customFormat="1" ht="72.75" customHeight="1">
      <c r="A34" s="255" t="s">
        <v>269</v>
      </c>
      <c r="B34" s="255" t="s">
        <v>103</v>
      </c>
      <c r="C34" s="255" t="s">
        <v>270</v>
      </c>
      <c r="D34" s="255" t="s">
        <v>112</v>
      </c>
      <c r="E34" s="255" t="s">
        <v>103</v>
      </c>
      <c r="F34" s="255" t="s">
        <v>106</v>
      </c>
      <c r="G34" s="255">
        <v>5.41</v>
      </c>
      <c r="H34" s="256">
        <f t="shared" si="0"/>
        <v>143611.155</v>
      </c>
      <c r="I34" s="256"/>
      <c r="J34" s="256">
        <v>18</v>
      </c>
      <c r="K34" s="256">
        <v>9</v>
      </c>
      <c r="L34" s="256">
        <f t="shared" si="1"/>
        <v>0</v>
      </c>
      <c r="M34" s="256">
        <f t="shared" si="2"/>
        <v>143611.155</v>
      </c>
      <c r="N34" s="256">
        <f t="shared" si="3"/>
        <v>71805.577499999999</v>
      </c>
      <c r="O34" s="256" t="s">
        <v>271</v>
      </c>
      <c r="P34" s="256"/>
      <c r="Q34" s="256"/>
      <c r="R34" s="256">
        <f>17697*60%</f>
        <v>10618.199999999999</v>
      </c>
      <c r="S34" s="257"/>
      <c r="T34" s="257"/>
      <c r="U34" s="257"/>
      <c r="V34" s="257"/>
      <c r="W34" s="257"/>
      <c r="X34" s="257"/>
      <c r="Y34" s="257"/>
      <c r="Z34" s="257"/>
      <c r="AA34" s="257"/>
      <c r="AB34" s="257"/>
      <c r="AC34" s="257">
        <f t="shared" si="4"/>
        <v>0</v>
      </c>
      <c r="AD34" s="257">
        <f t="shared" si="5"/>
        <v>0</v>
      </c>
      <c r="AE34" s="257">
        <f t="shared" si="6"/>
        <v>0</v>
      </c>
      <c r="AF34" s="257">
        <f t="shared" si="7"/>
        <v>0</v>
      </c>
      <c r="AG34" s="257">
        <f t="shared" si="8"/>
        <v>0</v>
      </c>
      <c r="AH34" s="257">
        <f t="shared" si="9"/>
        <v>0</v>
      </c>
      <c r="AI34" s="257">
        <f t="shared" si="10"/>
        <v>0</v>
      </c>
      <c r="AJ34" s="257">
        <f t="shared" si="11"/>
        <v>0</v>
      </c>
      <c r="AK34" s="257">
        <f t="shared" si="12"/>
        <v>0</v>
      </c>
      <c r="AL34" s="256">
        <f t="shared" si="13"/>
        <v>0</v>
      </c>
      <c r="AM34" s="256" t="s">
        <v>272</v>
      </c>
      <c r="AN34" s="256">
        <f>17697*20%</f>
        <v>3539.4</v>
      </c>
      <c r="AO34" s="256">
        <v>17</v>
      </c>
      <c r="AP34" s="256">
        <f t="shared" si="14"/>
        <v>3342.7666666666664</v>
      </c>
      <c r="AQ34" s="256"/>
      <c r="AR34" s="256"/>
      <c r="AS34" s="256"/>
      <c r="AT34" s="256"/>
      <c r="AU34" s="256" t="s">
        <v>210</v>
      </c>
      <c r="AV34" s="256">
        <f>17697*100%</f>
        <v>17697</v>
      </c>
      <c r="AW34" s="256"/>
      <c r="AX34" s="256"/>
      <c r="AY34" s="256"/>
      <c r="AZ34" s="256"/>
      <c r="BA34" s="256"/>
      <c r="BB34" s="256"/>
      <c r="BC34" s="261">
        <v>27</v>
      </c>
      <c r="BD34" s="259">
        <v>0.4</v>
      </c>
      <c r="BE34" s="259">
        <f t="shared" si="20"/>
        <v>86166.693000000014</v>
      </c>
      <c r="BF34" s="256">
        <v>27</v>
      </c>
      <c r="BG34" s="256">
        <f t="shared" si="16"/>
        <v>64625.019749999999</v>
      </c>
      <c r="BH34" s="256"/>
      <c r="BI34" s="256"/>
      <c r="BJ34" s="256">
        <v>3</v>
      </c>
      <c r="BK34" s="256">
        <f t="shared" si="21"/>
        <v>1179.8</v>
      </c>
      <c r="BL34" s="256">
        <f t="shared" si="17"/>
        <v>21541.67325</v>
      </c>
      <c r="BM34" s="256">
        <f t="shared" si="18"/>
        <v>424127.28516666661</v>
      </c>
      <c r="BN34" s="182"/>
      <c r="BO34" s="182"/>
    </row>
    <row r="35" spans="1:67" s="186" customFormat="1" ht="72.75" customHeight="1">
      <c r="A35" s="255" t="s">
        <v>273</v>
      </c>
      <c r="B35" s="255" t="s">
        <v>103</v>
      </c>
      <c r="C35" s="255" t="s">
        <v>274</v>
      </c>
      <c r="D35" s="255" t="s">
        <v>140</v>
      </c>
      <c r="E35" s="255" t="s">
        <v>103</v>
      </c>
      <c r="F35" s="255" t="s">
        <v>106</v>
      </c>
      <c r="G35" s="255">
        <v>5.41</v>
      </c>
      <c r="H35" s="256">
        <f t="shared" si="0"/>
        <v>143611.155</v>
      </c>
      <c r="I35" s="256">
        <v>20</v>
      </c>
      <c r="J35" s="256"/>
      <c r="K35" s="256"/>
      <c r="L35" s="256">
        <f t="shared" si="1"/>
        <v>159567.95000000001</v>
      </c>
      <c r="M35" s="256">
        <f t="shared" si="2"/>
        <v>0</v>
      </c>
      <c r="N35" s="256">
        <f t="shared" si="3"/>
        <v>0</v>
      </c>
      <c r="O35" s="256" t="s">
        <v>275</v>
      </c>
      <c r="P35" s="259">
        <f>17697*50%</f>
        <v>8848.5</v>
      </c>
      <c r="Q35" s="256"/>
      <c r="R35" s="256"/>
      <c r="S35" s="257"/>
      <c r="T35" s="257">
        <v>13</v>
      </c>
      <c r="U35" s="257"/>
      <c r="V35" s="257"/>
      <c r="W35" s="257"/>
      <c r="X35" s="257"/>
      <c r="Y35" s="257"/>
      <c r="Z35" s="257"/>
      <c r="AA35" s="257"/>
      <c r="AB35" s="257"/>
      <c r="AC35" s="257">
        <f t="shared" si="4"/>
        <v>0</v>
      </c>
      <c r="AD35" s="257">
        <f t="shared" si="5"/>
        <v>5112.4666666666662</v>
      </c>
      <c r="AE35" s="257">
        <f t="shared" si="6"/>
        <v>0</v>
      </c>
      <c r="AF35" s="257">
        <f t="shared" si="7"/>
        <v>0</v>
      </c>
      <c r="AG35" s="257">
        <f t="shared" si="8"/>
        <v>0</v>
      </c>
      <c r="AH35" s="257">
        <f t="shared" si="9"/>
        <v>0</v>
      </c>
      <c r="AI35" s="257">
        <f t="shared" si="10"/>
        <v>0</v>
      </c>
      <c r="AJ35" s="257">
        <f t="shared" si="11"/>
        <v>0</v>
      </c>
      <c r="AK35" s="257">
        <f t="shared" si="12"/>
        <v>0</v>
      </c>
      <c r="AL35" s="256">
        <f t="shared" si="13"/>
        <v>0</v>
      </c>
      <c r="AM35" s="256"/>
      <c r="AN35" s="256"/>
      <c r="AO35" s="256">
        <v>18</v>
      </c>
      <c r="AP35" s="256">
        <f t="shared" si="14"/>
        <v>3539.3999999999996</v>
      </c>
      <c r="AQ35" s="256"/>
      <c r="AR35" s="256"/>
      <c r="AS35" s="256"/>
      <c r="AT35" s="256"/>
      <c r="AU35" s="256"/>
      <c r="AV35" s="256"/>
      <c r="AW35" s="256"/>
      <c r="AX35" s="256"/>
      <c r="AY35" s="256"/>
      <c r="AZ35" s="256"/>
      <c r="BA35" s="256"/>
      <c r="BB35" s="256"/>
      <c r="BC35" s="261">
        <v>20</v>
      </c>
      <c r="BD35" s="259">
        <v>0</v>
      </c>
      <c r="BE35" s="259">
        <f t="shared" si="20"/>
        <v>63827.180000000008</v>
      </c>
      <c r="BF35" s="256">
        <v>20</v>
      </c>
      <c r="BG35" s="256">
        <f t="shared" si="16"/>
        <v>47870.385000000002</v>
      </c>
      <c r="BH35" s="256"/>
      <c r="BI35" s="256"/>
      <c r="BJ35" s="256"/>
      <c r="BK35" s="256">
        <f t="shared" si="21"/>
        <v>0</v>
      </c>
      <c r="BL35" s="256">
        <f t="shared" si="17"/>
        <v>15956.795000000002</v>
      </c>
      <c r="BM35" s="256">
        <f t="shared" si="18"/>
        <v>304722.6766666667</v>
      </c>
      <c r="BN35" s="182"/>
      <c r="BO35" s="182"/>
    </row>
    <row r="36" spans="1:67" s="186" customFormat="1" ht="72.75" customHeight="1">
      <c r="A36" s="255" t="s">
        <v>276</v>
      </c>
      <c r="B36" s="255" t="s">
        <v>103</v>
      </c>
      <c r="C36" s="255" t="s">
        <v>277</v>
      </c>
      <c r="D36" s="255" t="s">
        <v>109</v>
      </c>
      <c r="E36" s="255" t="s">
        <v>103</v>
      </c>
      <c r="F36" s="255" t="s">
        <v>106</v>
      </c>
      <c r="G36" s="255">
        <v>5.41</v>
      </c>
      <c r="H36" s="256">
        <f t="shared" si="0"/>
        <v>143611.155</v>
      </c>
      <c r="I36" s="256">
        <v>18</v>
      </c>
      <c r="J36" s="256">
        <v>7</v>
      </c>
      <c r="K36" s="256">
        <v>2</v>
      </c>
      <c r="L36" s="256">
        <f t="shared" si="1"/>
        <v>143611.155</v>
      </c>
      <c r="M36" s="256">
        <f t="shared" si="2"/>
        <v>55848.782500000001</v>
      </c>
      <c r="N36" s="256">
        <f t="shared" si="3"/>
        <v>15956.795</v>
      </c>
      <c r="O36" s="256" t="s">
        <v>278</v>
      </c>
      <c r="P36" s="256"/>
      <c r="Q36" s="256">
        <f>17697*60%</f>
        <v>10618.199999999999</v>
      </c>
      <c r="R36" s="256"/>
      <c r="S36" s="257">
        <v>18</v>
      </c>
      <c r="T36" s="257"/>
      <c r="U36" s="257"/>
      <c r="V36" s="257"/>
      <c r="W36" s="257">
        <v>7</v>
      </c>
      <c r="X36" s="257"/>
      <c r="Y36" s="257"/>
      <c r="Z36" s="257"/>
      <c r="AA36" s="257">
        <v>2</v>
      </c>
      <c r="AB36" s="257"/>
      <c r="AC36" s="257">
        <f t="shared" si="4"/>
        <v>4424.25</v>
      </c>
      <c r="AD36" s="257">
        <f t="shared" si="5"/>
        <v>0</v>
      </c>
      <c r="AE36" s="257">
        <f t="shared" si="6"/>
        <v>0</v>
      </c>
      <c r="AF36" s="257">
        <f t="shared" si="7"/>
        <v>0</v>
      </c>
      <c r="AG36" s="257">
        <f t="shared" si="8"/>
        <v>1720.5416666666665</v>
      </c>
      <c r="AH36" s="257">
        <f t="shared" si="9"/>
        <v>0</v>
      </c>
      <c r="AI36" s="257">
        <f t="shared" si="10"/>
        <v>0</v>
      </c>
      <c r="AJ36" s="257">
        <f t="shared" si="11"/>
        <v>0</v>
      </c>
      <c r="AK36" s="257">
        <f t="shared" si="12"/>
        <v>491.58333333333331</v>
      </c>
      <c r="AL36" s="256">
        <f t="shared" si="13"/>
        <v>0</v>
      </c>
      <c r="AM36" s="256"/>
      <c r="AN36" s="256"/>
      <c r="AO36" s="256">
        <v>10</v>
      </c>
      <c r="AP36" s="256">
        <f t="shared" si="14"/>
        <v>1966.3333333333333</v>
      </c>
      <c r="AQ36" s="256"/>
      <c r="AR36" s="256"/>
      <c r="AS36" s="256"/>
      <c r="AT36" s="256"/>
      <c r="AU36" s="256"/>
      <c r="AV36" s="256"/>
      <c r="AW36" s="256"/>
      <c r="AX36" s="256"/>
      <c r="AY36" s="256"/>
      <c r="AZ36" s="256"/>
      <c r="BA36" s="256"/>
      <c r="BB36" s="256"/>
      <c r="BC36" s="261">
        <v>27</v>
      </c>
      <c r="BD36" s="256">
        <v>0.4</v>
      </c>
      <c r="BE36" s="259">
        <f t="shared" si="20"/>
        <v>86166.693000000014</v>
      </c>
      <c r="BF36" s="256">
        <v>27</v>
      </c>
      <c r="BG36" s="256">
        <f t="shared" si="16"/>
        <v>64625.019749999999</v>
      </c>
      <c r="BH36" s="256"/>
      <c r="BI36" s="256"/>
      <c r="BJ36" s="256">
        <v>2</v>
      </c>
      <c r="BK36" s="256">
        <f t="shared" si="21"/>
        <v>786.5333333333333</v>
      </c>
      <c r="BL36" s="256">
        <f t="shared" si="17"/>
        <v>21541.673250000003</v>
      </c>
      <c r="BM36" s="256">
        <f t="shared" si="18"/>
        <v>407757.56016666669</v>
      </c>
      <c r="BN36" s="182"/>
      <c r="BO36" s="182"/>
    </row>
    <row r="37" spans="1:67" s="186" customFormat="1" ht="72.75" customHeight="1">
      <c r="A37" s="255" t="s">
        <v>279</v>
      </c>
      <c r="B37" s="255" t="s">
        <v>103</v>
      </c>
      <c r="C37" s="255" t="s">
        <v>280</v>
      </c>
      <c r="D37" s="255" t="s">
        <v>249</v>
      </c>
      <c r="E37" s="255" t="s">
        <v>103</v>
      </c>
      <c r="F37" s="255" t="s">
        <v>106</v>
      </c>
      <c r="G37" s="255">
        <v>5.41</v>
      </c>
      <c r="H37" s="256">
        <f t="shared" si="0"/>
        <v>143611.155</v>
      </c>
      <c r="I37" s="256"/>
      <c r="J37" s="256">
        <v>6</v>
      </c>
      <c r="K37" s="256">
        <v>3</v>
      </c>
      <c r="L37" s="256">
        <f t="shared" si="1"/>
        <v>0</v>
      </c>
      <c r="M37" s="256">
        <f t="shared" si="2"/>
        <v>47870.385000000002</v>
      </c>
      <c r="N37" s="256">
        <f t="shared" si="3"/>
        <v>23935.192500000001</v>
      </c>
      <c r="O37" s="256"/>
      <c r="P37" s="256"/>
      <c r="Q37" s="256"/>
      <c r="R37" s="256"/>
      <c r="S37" s="257"/>
      <c r="T37" s="257"/>
      <c r="U37" s="257"/>
      <c r="V37" s="257"/>
      <c r="W37" s="257"/>
      <c r="X37" s="257"/>
      <c r="Y37" s="257"/>
      <c r="Z37" s="257"/>
      <c r="AA37" s="257"/>
      <c r="AB37" s="257"/>
      <c r="AC37" s="257">
        <f t="shared" si="4"/>
        <v>0</v>
      </c>
      <c r="AD37" s="257">
        <f t="shared" si="5"/>
        <v>0</v>
      </c>
      <c r="AE37" s="257">
        <f t="shared" si="6"/>
        <v>0</v>
      </c>
      <c r="AF37" s="257">
        <f t="shared" si="7"/>
        <v>0</v>
      </c>
      <c r="AG37" s="257">
        <f t="shared" si="8"/>
        <v>0</v>
      </c>
      <c r="AH37" s="257">
        <f t="shared" si="9"/>
        <v>0</v>
      </c>
      <c r="AI37" s="257">
        <f t="shared" si="10"/>
        <v>0</v>
      </c>
      <c r="AJ37" s="257">
        <f t="shared" si="11"/>
        <v>0</v>
      </c>
      <c r="AK37" s="257">
        <f t="shared" si="12"/>
        <v>0</v>
      </c>
      <c r="AL37" s="256">
        <f t="shared" si="13"/>
        <v>0</v>
      </c>
      <c r="AM37" s="256"/>
      <c r="AN37" s="256"/>
      <c r="AO37" s="256">
        <v>3</v>
      </c>
      <c r="AP37" s="256">
        <f t="shared" si="14"/>
        <v>589.9</v>
      </c>
      <c r="AQ37" s="256"/>
      <c r="AR37" s="256"/>
      <c r="AS37" s="256"/>
      <c r="AT37" s="256"/>
      <c r="AU37" s="256"/>
      <c r="AV37" s="256"/>
      <c r="AW37" s="256"/>
      <c r="AX37" s="256"/>
      <c r="AY37" s="256"/>
      <c r="AZ37" s="256"/>
      <c r="BA37" s="256"/>
      <c r="BB37" s="256"/>
      <c r="BC37" s="261"/>
      <c r="BD37" s="259"/>
      <c r="BE37" s="259"/>
      <c r="BF37" s="256">
        <v>9</v>
      </c>
      <c r="BG37" s="256">
        <f t="shared" si="16"/>
        <v>21541.67325</v>
      </c>
      <c r="BH37" s="256"/>
      <c r="BI37" s="256"/>
      <c r="BJ37" s="256">
        <v>3</v>
      </c>
      <c r="BK37" s="256">
        <f t="shared" si="21"/>
        <v>1179.8</v>
      </c>
      <c r="BL37" s="256">
        <f t="shared" si="17"/>
        <v>7180.5577499999999</v>
      </c>
      <c r="BM37" s="256">
        <f t="shared" si="18"/>
        <v>102297.5085</v>
      </c>
      <c r="BN37" s="182"/>
      <c r="BO37" s="182"/>
    </row>
    <row r="38" spans="1:67" s="186" customFormat="1" ht="72.75" customHeight="1">
      <c r="A38" s="255" t="s">
        <v>281</v>
      </c>
      <c r="B38" s="255" t="s">
        <v>103</v>
      </c>
      <c r="C38" s="255" t="s">
        <v>282</v>
      </c>
      <c r="D38" s="255" t="s">
        <v>112</v>
      </c>
      <c r="E38" s="255" t="s">
        <v>103</v>
      </c>
      <c r="F38" s="255" t="s">
        <v>106</v>
      </c>
      <c r="G38" s="255">
        <v>5.41</v>
      </c>
      <c r="H38" s="256">
        <f t="shared" si="0"/>
        <v>143611.155</v>
      </c>
      <c r="I38" s="256"/>
      <c r="J38" s="256">
        <v>6</v>
      </c>
      <c r="K38" s="256">
        <v>3</v>
      </c>
      <c r="L38" s="256">
        <f t="shared" si="1"/>
        <v>0</v>
      </c>
      <c r="M38" s="256">
        <f t="shared" si="2"/>
        <v>47870.385000000002</v>
      </c>
      <c r="N38" s="256">
        <f t="shared" si="3"/>
        <v>23935.192500000001</v>
      </c>
      <c r="O38" s="256"/>
      <c r="P38" s="256"/>
      <c r="Q38" s="256"/>
      <c r="R38" s="256"/>
      <c r="S38" s="257"/>
      <c r="T38" s="257"/>
      <c r="U38" s="257"/>
      <c r="V38" s="257"/>
      <c r="W38" s="257"/>
      <c r="X38" s="257"/>
      <c r="Y38" s="257"/>
      <c r="Z38" s="257"/>
      <c r="AA38" s="257"/>
      <c r="AB38" s="257"/>
      <c r="AC38" s="257">
        <f t="shared" si="4"/>
        <v>0</v>
      </c>
      <c r="AD38" s="257">
        <f t="shared" si="5"/>
        <v>0</v>
      </c>
      <c r="AE38" s="257">
        <f t="shared" si="6"/>
        <v>0</v>
      </c>
      <c r="AF38" s="257">
        <f t="shared" si="7"/>
        <v>0</v>
      </c>
      <c r="AG38" s="257">
        <f t="shared" si="8"/>
        <v>0</v>
      </c>
      <c r="AH38" s="257">
        <f t="shared" si="9"/>
        <v>0</v>
      </c>
      <c r="AI38" s="257">
        <f t="shared" si="10"/>
        <v>0</v>
      </c>
      <c r="AJ38" s="257">
        <f t="shared" si="11"/>
        <v>0</v>
      </c>
      <c r="AK38" s="257">
        <f t="shared" si="12"/>
        <v>0</v>
      </c>
      <c r="AL38" s="256">
        <f t="shared" si="13"/>
        <v>0</v>
      </c>
      <c r="AM38" s="256"/>
      <c r="AN38" s="256"/>
      <c r="AO38" s="256">
        <v>6</v>
      </c>
      <c r="AP38" s="256">
        <f t="shared" si="14"/>
        <v>1179.8</v>
      </c>
      <c r="AQ38" s="256"/>
      <c r="AR38" s="256"/>
      <c r="AS38" s="256"/>
      <c r="AT38" s="256"/>
      <c r="AU38" s="256"/>
      <c r="AV38" s="256"/>
      <c r="AW38" s="256"/>
      <c r="AX38" s="256"/>
      <c r="AY38" s="256"/>
      <c r="AZ38" s="256"/>
      <c r="BA38" s="256"/>
      <c r="BB38" s="256"/>
      <c r="BC38" s="261">
        <v>9</v>
      </c>
      <c r="BD38" s="259">
        <v>0.4</v>
      </c>
      <c r="BE38" s="259">
        <f t="shared" si="20"/>
        <v>28722.231000000003</v>
      </c>
      <c r="BF38" s="256">
        <v>9</v>
      </c>
      <c r="BG38" s="256">
        <f t="shared" si="16"/>
        <v>21541.67325</v>
      </c>
      <c r="BH38" s="256"/>
      <c r="BI38" s="256"/>
      <c r="BJ38" s="256">
        <v>8</v>
      </c>
      <c r="BK38" s="256">
        <f t="shared" si="21"/>
        <v>3146.1333333333332</v>
      </c>
      <c r="BL38" s="256">
        <f t="shared" si="17"/>
        <v>7180.5577499999999</v>
      </c>
      <c r="BM38" s="256">
        <f t="shared" si="18"/>
        <v>133575.97283333333</v>
      </c>
      <c r="BN38" s="182"/>
      <c r="BO38" s="182"/>
    </row>
    <row r="39" spans="1:67" s="186" customFormat="1" ht="72.75" customHeight="1">
      <c r="A39" s="255" t="s">
        <v>283</v>
      </c>
      <c r="B39" s="255" t="s">
        <v>103</v>
      </c>
      <c r="C39" s="255" t="s">
        <v>284</v>
      </c>
      <c r="D39" s="255" t="s">
        <v>115</v>
      </c>
      <c r="E39" s="255" t="s">
        <v>103</v>
      </c>
      <c r="F39" s="255" t="s">
        <v>106</v>
      </c>
      <c r="G39" s="255">
        <v>5.41</v>
      </c>
      <c r="H39" s="256">
        <f t="shared" si="0"/>
        <v>143611.155</v>
      </c>
      <c r="I39" s="256">
        <v>8</v>
      </c>
      <c r="J39" s="256">
        <v>10</v>
      </c>
      <c r="K39" s="256">
        <v>6</v>
      </c>
      <c r="L39" s="256">
        <f t="shared" si="1"/>
        <v>63827.18</v>
      </c>
      <c r="M39" s="256">
        <f t="shared" si="2"/>
        <v>79783.975000000006</v>
      </c>
      <c r="N39" s="256">
        <f t="shared" si="3"/>
        <v>47870.385000000002</v>
      </c>
      <c r="O39" s="256" t="s">
        <v>285</v>
      </c>
      <c r="P39" s="256"/>
      <c r="Q39" s="256">
        <f>17697*60%</f>
        <v>10618.199999999999</v>
      </c>
      <c r="R39" s="256"/>
      <c r="S39" s="257">
        <v>8</v>
      </c>
      <c r="T39" s="257"/>
      <c r="U39" s="257"/>
      <c r="V39" s="257"/>
      <c r="W39" s="257">
        <v>10</v>
      </c>
      <c r="X39" s="257"/>
      <c r="Y39" s="257"/>
      <c r="Z39" s="257"/>
      <c r="AA39" s="257">
        <v>5</v>
      </c>
      <c r="AB39" s="257"/>
      <c r="AC39" s="257">
        <f t="shared" si="4"/>
        <v>1966.3333333333333</v>
      </c>
      <c r="AD39" s="257">
        <f t="shared" si="5"/>
        <v>0</v>
      </c>
      <c r="AE39" s="257">
        <f t="shared" si="6"/>
        <v>0</v>
      </c>
      <c r="AF39" s="257">
        <f t="shared" si="7"/>
        <v>0</v>
      </c>
      <c r="AG39" s="257">
        <f t="shared" si="8"/>
        <v>2457.9166666666665</v>
      </c>
      <c r="AH39" s="257">
        <f t="shared" si="9"/>
        <v>0</v>
      </c>
      <c r="AI39" s="257">
        <f t="shared" si="10"/>
        <v>0</v>
      </c>
      <c r="AJ39" s="257">
        <f t="shared" si="11"/>
        <v>0</v>
      </c>
      <c r="AK39" s="257">
        <f t="shared" si="12"/>
        <v>1228.9583333333333</v>
      </c>
      <c r="AL39" s="256">
        <f t="shared" si="13"/>
        <v>0</v>
      </c>
      <c r="AM39" s="256" t="s">
        <v>286</v>
      </c>
      <c r="AN39" s="256">
        <f>17697*20%</f>
        <v>3539.4</v>
      </c>
      <c r="AO39" s="256">
        <v>12</v>
      </c>
      <c r="AP39" s="256">
        <f t="shared" si="14"/>
        <v>2359.6</v>
      </c>
      <c r="AQ39" s="256"/>
      <c r="AR39" s="256"/>
      <c r="AS39" s="256"/>
      <c r="AT39" s="256"/>
      <c r="AU39" s="256"/>
      <c r="AV39" s="256"/>
      <c r="AW39" s="256"/>
      <c r="AX39" s="256"/>
      <c r="AY39" s="256"/>
      <c r="AZ39" s="256"/>
      <c r="BA39" s="256"/>
      <c r="BB39" s="256"/>
      <c r="BC39" s="261">
        <v>24</v>
      </c>
      <c r="BD39" s="256">
        <v>0.4</v>
      </c>
      <c r="BE39" s="259">
        <f t="shared" si="20"/>
        <v>76592.616000000009</v>
      </c>
      <c r="BF39" s="256">
        <v>24</v>
      </c>
      <c r="BG39" s="256">
        <f t="shared" si="16"/>
        <v>57444.462</v>
      </c>
      <c r="BH39" s="256"/>
      <c r="BI39" s="256"/>
      <c r="BJ39" s="256"/>
      <c r="BK39" s="256">
        <f t="shared" si="21"/>
        <v>0</v>
      </c>
      <c r="BL39" s="256">
        <f t="shared" si="17"/>
        <v>19148.154000000002</v>
      </c>
      <c r="BM39" s="256">
        <f t="shared" si="18"/>
        <v>366837.18033333338</v>
      </c>
      <c r="BN39" s="182"/>
      <c r="BO39" s="182"/>
    </row>
    <row r="40" spans="1:67" s="186" customFormat="1" ht="72.75" customHeight="1">
      <c r="A40" s="255" t="s">
        <v>107</v>
      </c>
      <c r="B40" s="255" t="s">
        <v>103</v>
      </c>
      <c r="C40" s="255" t="s">
        <v>108</v>
      </c>
      <c r="D40" s="255" t="s">
        <v>109</v>
      </c>
      <c r="E40" s="255" t="s">
        <v>103</v>
      </c>
      <c r="F40" s="255" t="s">
        <v>106</v>
      </c>
      <c r="G40" s="267">
        <v>5.32</v>
      </c>
      <c r="H40" s="256">
        <f t="shared" si="0"/>
        <v>141222.06</v>
      </c>
      <c r="I40" s="256"/>
      <c r="J40" s="256">
        <v>20</v>
      </c>
      <c r="K40" s="256">
        <v>7</v>
      </c>
      <c r="L40" s="256">
        <f t="shared" si="1"/>
        <v>0</v>
      </c>
      <c r="M40" s="256">
        <f t="shared" si="2"/>
        <v>156913.4</v>
      </c>
      <c r="N40" s="256">
        <f t="shared" si="3"/>
        <v>54919.69</v>
      </c>
      <c r="O40" s="256" t="s">
        <v>287</v>
      </c>
      <c r="P40" s="256"/>
      <c r="Q40" s="256"/>
      <c r="R40" s="256">
        <f>17697*60%/2</f>
        <v>5309.0999999999995</v>
      </c>
      <c r="S40" s="257"/>
      <c r="T40" s="257"/>
      <c r="U40" s="257"/>
      <c r="V40" s="257"/>
      <c r="W40" s="257"/>
      <c r="X40" s="257">
        <v>20</v>
      </c>
      <c r="Y40" s="257"/>
      <c r="Z40" s="257"/>
      <c r="AA40" s="257"/>
      <c r="AB40" s="257">
        <v>7</v>
      </c>
      <c r="AC40" s="257">
        <f t="shared" si="4"/>
        <v>0</v>
      </c>
      <c r="AD40" s="257">
        <f t="shared" si="5"/>
        <v>0</v>
      </c>
      <c r="AE40" s="257">
        <f t="shared" si="6"/>
        <v>0</v>
      </c>
      <c r="AF40" s="257">
        <f t="shared" si="7"/>
        <v>0</v>
      </c>
      <c r="AG40" s="257">
        <f t="shared" si="8"/>
        <v>0</v>
      </c>
      <c r="AH40" s="257">
        <f t="shared" si="9"/>
        <v>9831.6666666666661</v>
      </c>
      <c r="AI40" s="257">
        <f t="shared" si="10"/>
        <v>0</v>
      </c>
      <c r="AJ40" s="257">
        <f t="shared" si="11"/>
        <v>0</v>
      </c>
      <c r="AK40" s="257">
        <f t="shared" si="12"/>
        <v>0</v>
      </c>
      <c r="AL40" s="256">
        <f t="shared" si="13"/>
        <v>3441.083333333333</v>
      </c>
      <c r="AM40" s="256"/>
      <c r="AN40" s="256"/>
      <c r="AO40" s="256">
        <v>20</v>
      </c>
      <c r="AP40" s="256">
        <f t="shared" si="14"/>
        <v>3932.6666666666665</v>
      </c>
      <c r="AQ40" s="256"/>
      <c r="AR40" s="256"/>
      <c r="AS40" s="256"/>
      <c r="AT40" s="256"/>
      <c r="AU40" s="256"/>
      <c r="AV40" s="256"/>
      <c r="AW40" s="256"/>
      <c r="AX40" s="256"/>
      <c r="AY40" s="256"/>
      <c r="AZ40" s="256"/>
      <c r="BA40" s="256"/>
      <c r="BB40" s="256"/>
      <c r="BC40" s="261">
        <v>27</v>
      </c>
      <c r="BD40" s="256">
        <v>0.4</v>
      </c>
      <c r="BE40" s="259">
        <f t="shared" si="20"/>
        <v>84733.236000000004</v>
      </c>
      <c r="BF40" s="256">
        <v>27</v>
      </c>
      <c r="BG40" s="256">
        <f t="shared" si="16"/>
        <v>63549.926999999996</v>
      </c>
      <c r="BH40" s="256"/>
      <c r="BI40" s="256"/>
      <c r="BJ40" s="256"/>
      <c r="BK40" s="256">
        <f t="shared" si="21"/>
        <v>0</v>
      </c>
      <c r="BL40" s="256">
        <f t="shared" si="17"/>
        <v>21183.309000000001</v>
      </c>
      <c r="BM40" s="256">
        <f t="shared" si="18"/>
        <v>403814.07866666664</v>
      </c>
      <c r="BN40" s="182"/>
      <c r="BO40" s="182"/>
    </row>
    <row r="41" spans="1:67" s="186" customFormat="1" ht="72.75" customHeight="1">
      <c r="A41" s="255" t="s">
        <v>288</v>
      </c>
      <c r="B41" s="255" t="s">
        <v>103</v>
      </c>
      <c r="C41" s="255" t="s">
        <v>289</v>
      </c>
      <c r="D41" s="255" t="s">
        <v>290</v>
      </c>
      <c r="E41" s="255" t="s">
        <v>103</v>
      </c>
      <c r="F41" s="255" t="s">
        <v>106</v>
      </c>
      <c r="G41" s="267">
        <v>5.32</v>
      </c>
      <c r="H41" s="256">
        <f t="shared" si="0"/>
        <v>141222.06</v>
      </c>
      <c r="I41" s="256"/>
      <c r="J41" s="256">
        <v>17</v>
      </c>
      <c r="K41" s="256">
        <v>10</v>
      </c>
      <c r="L41" s="256">
        <f t="shared" si="1"/>
        <v>0</v>
      </c>
      <c r="M41" s="256">
        <f t="shared" si="2"/>
        <v>133376.39000000001</v>
      </c>
      <c r="N41" s="256">
        <f t="shared" si="3"/>
        <v>78456.7</v>
      </c>
      <c r="O41" s="256" t="s">
        <v>291</v>
      </c>
      <c r="P41" s="256"/>
      <c r="Q41" s="256">
        <f>17697*60%</f>
        <v>10618.199999999999</v>
      </c>
      <c r="R41" s="256"/>
      <c r="S41" s="257"/>
      <c r="T41" s="257"/>
      <c r="U41" s="257"/>
      <c r="V41" s="257">
        <v>17</v>
      </c>
      <c r="W41" s="257"/>
      <c r="X41" s="257"/>
      <c r="Y41" s="257"/>
      <c r="Z41" s="257">
        <v>8</v>
      </c>
      <c r="AA41" s="257"/>
      <c r="AB41" s="257"/>
      <c r="AC41" s="257">
        <f t="shared" si="4"/>
        <v>0</v>
      </c>
      <c r="AD41" s="257">
        <f t="shared" si="5"/>
        <v>0</v>
      </c>
      <c r="AE41" s="257">
        <f t="shared" si="6"/>
        <v>0</v>
      </c>
      <c r="AF41" s="257">
        <f t="shared" si="7"/>
        <v>6685.5333333333328</v>
      </c>
      <c r="AG41" s="257">
        <f t="shared" si="8"/>
        <v>0</v>
      </c>
      <c r="AH41" s="257">
        <f t="shared" si="9"/>
        <v>0</v>
      </c>
      <c r="AI41" s="257">
        <f t="shared" si="10"/>
        <v>0</v>
      </c>
      <c r="AJ41" s="257">
        <f t="shared" si="11"/>
        <v>3146.1333333333332</v>
      </c>
      <c r="AK41" s="257">
        <f t="shared" si="12"/>
        <v>0</v>
      </c>
      <c r="AL41" s="256">
        <f t="shared" si="13"/>
        <v>0</v>
      </c>
      <c r="AM41" s="256" t="s">
        <v>292</v>
      </c>
      <c r="AN41" s="256">
        <f>17697*20%</f>
        <v>3539.4</v>
      </c>
      <c r="AO41" s="256">
        <v>21</v>
      </c>
      <c r="AP41" s="256">
        <f t="shared" si="14"/>
        <v>4129.3</v>
      </c>
      <c r="AQ41" s="256"/>
      <c r="AR41" s="256"/>
      <c r="AS41" s="256"/>
      <c r="AT41" s="256"/>
      <c r="AU41" s="256"/>
      <c r="AV41" s="256"/>
      <c r="AW41" s="256"/>
      <c r="AX41" s="256"/>
      <c r="AY41" s="256"/>
      <c r="AZ41" s="256"/>
      <c r="BA41" s="256"/>
      <c r="BB41" s="256"/>
      <c r="BC41" s="261">
        <v>27</v>
      </c>
      <c r="BD41" s="256">
        <v>0.4</v>
      </c>
      <c r="BE41" s="259">
        <f t="shared" si="20"/>
        <v>84733.236000000004</v>
      </c>
      <c r="BF41" s="256">
        <v>27</v>
      </c>
      <c r="BG41" s="256">
        <f t="shared" si="16"/>
        <v>63549.926999999996</v>
      </c>
      <c r="BH41" s="256">
        <v>1</v>
      </c>
      <c r="BI41" s="260">
        <f>17697*100%</f>
        <v>17697</v>
      </c>
      <c r="BJ41" s="256">
        <v>12</v>
      </c>
      <c r="BK41" s="256">
        <f t="shared" si="21"/>
        <v>4719.2</v>
      </c>
      <c r="BL41" s="256">
        <f t="shared" si="17"/>
        <v>21183.309000000005</v>
      </c>
      <c r="BM41" s="256">
        <f t="shared" si="18"/>
        <v>431834.3286666667</v>
      </c>
      <c r="BN41" s="182"/>
      <c r="BO41" s="182"/>
    </row>
    <row r="42" spans="1:67" s="186" customFormat="1" ht="72.75" customHeight="1">
      <c r="A42" s="255" t="s">
        <v>293</v>
      </c>
      <c r="B42" s="255" t="s">
        <v>103</v>
      </c>
      <c r="C42" s="255" t="s">
        <v>294</v>
      </c>
      <c r="D42" s="255" t="s">
        <v>109</v>
      </c>
      <c r="E42" s="255" t="s">
        <v>103</v>
      </c>
      <c r="F42" s="255" t="s">
        <v>106</v>
      </c>
      <c r="G42" s="267">
        <v>5.32</v>
      </c>
      <c r="H42" s="256">
        <f t="shared" si="0"/>
        <v>141222.06</v>
      </c>
      <c r="I42" s="256">
        <v>10</v>
      </c>
      <c r="J42" s="256">
        <v>13</v>
      </c>
      <c r="K42" s="256">
        <v>4</v>
      </c>
      <c r="L42" s="256">
        <f t="shared" si="1"/>
        <v>78456.7</v>
      </c>
      <c r="M42" s="256">
        <f t="shared" si="2"/>
        <v>101993.71</v>
      </c>
      <c r="N42" s="256">
        <f t="shared" si="3"/>
        <v>31382.68</v>
      </c>
      <c r="O42" s="256" t="s">
        <v>295</v>
      </c>
      <c r="P42" s="256"/>
      <c r="Q42" s="256">
        <f>17697*60%</f>
        <v>10618.199999999999</v>
      </c>
      <c r="R42" s="256"/>
      <c r="S42" s="257">
        <v>10</v>
      </c>
      <c r="T42" s="257"/>
      <c r="U42" s="257"/>
      <c r="V42" s="257"/>
      <c r="W42" s="257">
        <v>13</v>
      </c>
      <c r="X42" s="257"/>
      <c r="Y42" s="257"/>
      <c r="Z42" s="257"/>
      <c r="AA42" s="257">
        <v>4</v>
      </c>
      <c r="AB42" s="257"/>
      <c r="AC42" s="257">
        <f t="shared" si="4"/>
        <v>2457.9166666666665</v>
      </c>
      <c r="AD42" s="257">
        <f t="shared" si="5"/>
        <v>0</v>
      </c>
      <c r="AE42" s="257">
        <f t="shared" si="6"/>
        <v>0</v>
      </c>
      <c r="AF42" s="257">
        <f t="shared" si="7"/>
        <v>0</v>
      </c>
      <c r="AG42" s="257">
        <f t="shared" si="8"/>
        <v>3195.2916666666665</v>
      </c>
      <c r="AH42" s="257">
        <f t="shared" si="9"/>
        <v>0</v>
      </c>
      <c r="AI42" s="257">
        <f t="shared" si="10"/>
        <v>0</v>
      </c>
      <c r="AJ42" s="257">
        <f t="shared" si="11"/>
        <v>0</v>
      </c>
      <c r="AK42" s="257">
        <f t="shared" si="12"/>
        <v>983.16666666666663</v>
      </c>
      <c r="AL42" s="256">
        <f t="shared" si="13"/>
        <v>0</v>
      </c>
      <c r="AM42" s="256"/>
      <c r="AN42" s="256"/>
      <c r="AO42" s="256">
        <v>10</v>
      </c>
      <c r="AP42" s="256">
        <f t="shared" si="14"/>
        <v>1966.3333333333333</v>
      </c>
      <c r="AQ42" s="256"/>
      <c r="AR42" s="256"/>
      <c r="AS42" s="256"/>
      <c r="AT42" s="256"/>
      <c r="AU42" s="256"/>
      <c r="AV42" s="256"/>
      <c r="AW42" s="256"/>
      <c r="AX42" s="256"/>
      <c r="AY42" s="256"/>
      <c r="AZ42" s="256"/>
      <c r="BA42" s="256"/>
      <c r="BB42" s="256"/>
      <c r="BC42" s="261">
        <v>27</v>
      </c>
      <c r="BD42" s="256">
        <v>0.4</v>
      </c>
      <c r="BE42" s="259">
        <f t="shared" si="20"/>
        <v>84733.236000000004</v>
      </c>
      <c r="BF42" s="256">
        <v>27</v>
      </c>
      <c r="BG42" s="256">
        <f t="shared" si="16"/>
        <v>63549.926999999996</v>
      </c>
      <c r="BH42" s="256"/>
      <c r="BI42" s="256"/>
      <c r="BJ42" s="256">
        <v>6</v>
      </c>
      <c r="BK42" s="256">
        <f t="shared" si="21"/>
        <v>2359.6</v>
      </c>
      <c r="BL42" s="256">
        <f t="shared" si="17"/>
        <v>21183.309000000001</v>
      </c>
      <c r="BM42" s="256">
        <f t="shared" si="18"/>
        <v>402880.07033333334</v>
      </c>
      <c r="BN42" s="182"/>
      <c r="BO42" s="182"/>
    </row>
    <row r="43" spans="1:67" s="186" customFormat="1" ht="72.75" customHeight="1">
      <c r="A43" s="255" t="s">
        <v>296</v>
      </c>
      <c r="B43" s="255" t="s">
        <v>103</v>
      </c>
      <c r="C43" s="255" t="s">
        <v>297</v>
      </c>
      <c r="D43" s="255" t="s">
        <v>109</v>
      </c>
      <c r="E43" s="255" t="s">
        <v>103</v>
      </c>
      <c r="F43" s="255" t="s">
        <v>106</v>
      </c>
      <c r="G43" s="267">
        <v>5.32</v>
      </c>
      <c r="H43" s="256">
        <f t="shared" si="0"/>
        <v>141222.06</v>
      </c>
      <c r="I43" s="256"/>
      <c r="J43" s="256">
        <v>27</v>
      </c>
      <c r="K43" s="256"/>
      <c r="L43" s="256">
        <f t="shared" si="1"/>
        <v>0</v>
      </c>
      <c r="M43" s="256">
        <f t="shared" si="2"/>
        <v>211833.09</v>
      </c>
      <c r="N43" s="256">
        <f t="shared" si="3"/>
        <v>0</v>
      </c>
      <c r="O43" s="256" t="s">
        <v>298</v>
      </c>
      <c r="P43" s="256"/>
      <c r="Q43" s="256">
        <f>17697*60%</f>
        <v>10618.199999999999</v>
      </c>
      <c r="R43" s="256"/>
      <c r="S43" s="257"/>
      <c r="T43" s="257"/>
      <c r="U43" s="257"/>
      <c r="V43" s="257"/>
      <c r="W43" s="257"/>
      <c r="X43" s="257">
        <v>27</v>
      </c>
      <c r="Y43" s="257"/>
      <c r="Z43" s="257"/>
      <c r="AA43" s="257"/>
      <c r="AB43" s="257"/>
      <c r="AC43" s="257">
        <f t="shared" si="4"/>
        <v>0</v>
      </c>
      <c r="AD43" s="257">
        <f t="shared" si="5"/>
        <v>0</v>
      </c>
      <c r="AE43" s="257">
        <f t="shared" si="6"/>
        <v>0</v>
      </c>
      <c r="AF43" s="257">
        <f t="shared" si="7"/>
        <v>0</v>
      </c>
      <c r="AG43" s="257">
        <f t="shared" si="8"/>
        <v>0</v>
      </c>
      <c r="AH43" s="257">
        <f t="shared" si="9"/>
        <v>13272.75</v>
      </c>
      <c r="AI43" s="257">
        <f t="shared" si="10"/>
        <v>0</v>
      </c>
      <c r="AJ43" s="257">
        <f t="shared" si="11"/>
        <v>0</v>
      </c>
      <c r="AK43" s="257">
        <f t="shared" si="12"/>
        <v>0</v>
      </c>
      <c r="AL43" s="256">
        <f t="shared" si="13"/>
        <v>0</v>
      </c>
      <c r="AM43" s="256" t="s">
        <v>299</v>
      </c>
      <c r="AN43" s="256">
        <f>17697*20%</f>
        <v>3539.4</v>
      </c>
      <c r="AO43" s="256">
        <v>15</v>
      </c>
      <c r="AP43" s="256">
        <f t="shared" si="14"/>
        <v>2949.5</v>
      </c>
      <c r="AQ43" s="256"/>
      <c r="AR43" s="256"/>
      <c r="AS43" s="256"/>
      <c r="AT43" s="256"/>
      <c r="AU43" s="256"/>
      <c r="AV43" s="256"/>
      <c r="AW43" s="256"/>
      <c r="AX43" s="256"/>
      <c r="AY43" s="256"/>
      <c r="AZ43" s="256"/>
      <c r="BA43" s="256"/>
      <c r="BB43" s="256"/>
      <c r="BC43" s="261">
        <v>27</v>
      </c>
      <c r="BD43" s="256">
        <v>0.4</v>
      </c>
      <c r="BE43" s="259">
        <f t="shared" si="20"/>
        <v>84733.236000000004</v>
      </c>
      <c r="BF43" s="256">
        <v>27</v>
      </c>
      <c r="BG43" s="256">
        <f t="shared" si="16"/>
        <v>63549.926999999996</v>
      </c>
      <c r="BH43" s="256"/>
      <c r="BI43" s="256"/>
      <c r="BJ43" s="256">
        <v>5</v>
      </c>
      <c r="BK43" s="256">
        <f t="shared" si="21"/>
        <v>1966.3333333333333</v>
      </c>
      <c r="BL43" s="256">
        <f t="shared" si="17"/>
        <v>21183.309000000001</v>
      </c>
      <c r="BM43" s="256">
        <f t="shared" si="18"/>
        <v>413645.74533333333</v>
      </c>
      <c r="BN43" s="182"/>
      <c r="BO43" s="182"/>
    </row>
    <row r="44" spans="1:67" s="186" customFormat="1" ht="72.75" customHeight="1">
      <c r="A44" s="255" t="s">
        <v>300</v>
      </c>
      <c r="B44" s="255" t="s">
        <v>103</v>
      </c>
      <c r="C44" s="255" t="s">
        <v>301</v>
      </c>
      <c r="D44" s="255" t="s">
        <v>132</v>
      </c>
      <c r="E44" s="255" t="s">
        <v>103</v>
      </c>
      <c r="F44" s="255" t="s">
        <v>106</v>
      </c>
      <c r="G44" s="267">
        <v>5.32</v>
      </c>
      <c r="H44" s="256">
        <f t="shared" si="0"/>
        <v>141222.06</v>
      </c>
      <c r="I44" s="256"/>
      <c r="J44" s="256">
        <v>18</v>
      </c>
      <c r="K44" s="256"/>
      <c r="L44" s="256">
        <f t="shared" si="1"/>
        <v>0</v>
      </c>
      <c r="M44" s="256">
        <f t="shared" si="2"/>
        <v>141222.06</v>
      </c>
      <c r="N44" s="256">
        <f t="shared" si="3"/>
        <v>0</v>
      </c>
      <c r="O44" s="256"/>
      <c r="P44" s="256"/>
      <c r="Q44" s="256"/>
      <c r="R44" s="256"/>
      <c r="S44" s="257"/>
      <c r="T44" s="257"/>
      <c r="U44" s="257"/>
      <c r="V44" s="257">
        <v>18</v>
      </c>
      <c r="W44" s="257"/>
      <c r="X44" s="257"/>
      <c r="Y44" s="257"/>
      <c r="Z44" s="257"/>
      <c r="AA44" s="257"/>
      <c r="AB44" s="257"/>
      <c r="AC44" s="257">
        <f t="shared" si="4"/>
        <v>0</v>
      </c>
      <c r="AD44" s="257">
        <f t="shared" si="5"/>
        <v>0</v>
      </c>
      <c r="AE44" s="257">
        <f t="shared" si="6"/>
        <v>0</v>
      </c>
      <c r="AF44" s="257">
        <f t="shared" si="7"/>
        <v>7078.7999999999993</v>
      </c>
      <c r="AG44" s="257">
        <f t="shared" si="8"/>
        <v>0</v>
      </c>
      <c r="AH44" s="257">
        <f t="shared" si="9"/>
        <v>0</v>
      </c>
      <c r="AI44" s="257">
        <f t="shared" si="10"/>
        <v>0</v>
      </c>
      <c r="AJ44" s="257">
        <f t="shared" si="11"/>
        <v>0</v>
      </c>
      <c r="AK44" s="257">
        <f t="shared" si="12"/>
        <v>0</v>
      </c>
      <c r="AL44" s="256">
        <f t="shared" si="13"/>
        <v>0</v>
      </c>
      <c r="AM44" s="256"/>
      <c r="AN44" s="256"/>
      <c r="AO44" s="256">
        <v>6</v>
      </c>
      <c r="AP44" s="256">
        <f t="shared" si="14"/>
        <v>1179.8</v>
      </c>
      <c r="AQ44" s="256"/>
      <c r="AR44" s="256"/>
      <c r="AS44" s="256"/>
      <c r="AT44" s="256"/>
      <c r="AU44" s="256"/>
      <c r="AV44" s="256"/>
      <c r="AW44" s="256"/>
      <c r="AX44" s="256"/>
      <c r="AY44" s="256"/>
      <c r="AZ44" s="256"/>
      <c r="BA44" s="256"/>
      <c r="BB44" s="256"/>
      <c r="BC44" s="261">
        <v>18</v>
      </c>
      <c r="BD44" s="256">
        <v>0.4</v>
      </c>
      <c r="BE44" s="259">
        <f t="shared" si="20"/>
        <v>56488.824000000001</v>
      </c>
      <c r="BF44" s="256">
        <v>18</v>
      </c>
      <c r="BG44" s="256">
        <f t="shared" si="16"/>
        <v>42366.617999999995</v>
      </c>
      <c r="BH44" s="256"/>
      <c r="BI44" s="256"/>
      <c r="BJ44" s="256">
        <v>4</v>
      </c>
      <c r="BK44" s="256">
        <f t="shared" si="21"/>
        <v>1573.0666666666666</v>
      </c>
      <c r="BL44" s="256">
        <f t="shared" si="17"/>
        <v>14122.206</v>
      </c>
      <c r="BM44" s="256">
        <f t="shared" si="18"/>
        <v>264031.37466666661</v>
      </c>
      <c r="BN44" s="182"/>
      <c r="BO44" s="182"/>
    </row>
    <row r="45" spans="1:67" s="186" customFormat="1" ht="72.75" customHeight="1">
      <c r="A45" s="255" t="s">
        <v>302</v>
      </c>
      <c r="B45" s="255" t="s">
        <v>103</v>
      </c>
      <c r="C45" s="255" t="s">
        <v>303</v>
      </c>
      <c r="D45" s="255" t="s">
        <v>105</v>
      </c>
      <c r="E45" s="255" t="s">
        <v>103</v>
      </c>
      <c r="F45" s="255" t="s">
        <v>106</v>
      </c>
      <c r="G45" s="267">
        <v>5.32</v>
      </c>
      <c r="H45" s="256">
        <f t="shared" si="0"/>
        <v>141222.06</v>
      </c>
      <c r="I45" s="256"/>
      <c r="J45" s="256">
        <v>21</v>
      </c>
      <c r="K45" s="256"/>
      <c r="L45" s="256">
        <f t="shared" si="1"/>
        <v>0</v>
      </c>
      <c r="M45" s="256">
        <f t="shared" si="2"/>
        <v>164759.07</v>
      </c>
      <c r="N45" s="256">
        <f t="shared" si="3"/>
        <v>0</v>
      </c>
      <c r="O45" s="256" t="s">
        <v>304</v>
      </c>
      <c r="P45" s="256"/>
      <c r="Q45" s="256">
        <f>17697*60%</f>
        <v>10618.199999999999</v>
      </c>
      <c r="R45" s="256"/>
      <c r="S45" s="257"/>
      <c r="T45" s="257"/>
      <c r="U45" s="257"/>
      <c r="V45" s="257">
        <v>20</v>
      </c>
      <c r="W45" s="257"/>
      <c r="X45" s="257"/>
      <c r="Y45" s="257"/>
      <c r="Z45" s="257"/>
      <c r="AA45" s="257"/>
      <c r="AB45" s="257"/>
      <c r="AC45" s="257">
        <f t="shared" si="4"/>
        <v>0</v>
      </c>
      <c r="AD45" s="257">
        <f t="shared" si="5"/>
        <v>0</v>
      </c>
      <c r="AE45" s="257">
        <f t="shared" si="6"/>
        <v>0</v>
      </c>
      <c r="AF45" s="257">
        <f t="shared" si="7"/>
        <v>7865.333333333333</v>
      </c>
      <c r="AG45" s="257">
        <f t="shared" si="8"/>
        <v>0</v>
      </c>
      <c r="AH45" s="257">
        <f t="shared" si="9"/>
        <v>0</v>
      </c>
      <c r="AI45" s="257">
        <f t="shared" si="10"/>
        <v>0</v>
      </c>
      <c r="AJ45" s="257">
        <f t="shared" si="11"/>
        <v>0</v>
      </c>
      <c r="AK45" s="257">
        <f t="shared" si="12"/>
        <v>0</v>
      </c>
      <c r="AL45" s="256">
        <f t="shared" si="13"/>
        <v>0</v>
      </c>
      <c r="AM45" s="256"/>
      <c r="AN45" s="256"/>
      <c r="AO45" s="256">
        <v>21</v>
      </c>
      <c r="AP45" s="256">
        <f t="shared" si="14"/>
        <v>4129.3</v>
      </c>
      <c r="AQ45" s="256"/>
      <c r="AR45" s="256"/>
      <c r="AS45" s="256" t="s">
        <v>305</v>
      </c>
      <c r="AT45" s="256">
        <f>2917*10</f>
        <v>29170</v>
      </c>
      <c r="AU45" s="256"/>
      <c r="AV45" s="256"/>
      <c r="AW45" s="256"/>
      <c r="AX45" s="256"/>
      <c r="AY45" s="256"/>
      <c r="AZ45" s="256"/>
      <c r="BA45" s="256"/>
      <c r="BB45" s="256"/>
      <c r="BC45" s="261"/>
      <c r="BD45" s="256"/>
      <c r="BE45" s="259"/>
      <c r="BF45" s="256">
        <v>21</v>
      </c>
      <c r="BG45" s="256">
        <f t="shared" si="16"/>
        <v>49427.720999999998</v>
      </c>
      <c r="BH45" s="256"/>
      <c r="BI45" s="256"/>
      <c r="BJ45" s="256">
        <v>5</v>
      </c>
      <c r="BK45" s="256">
        <f t="shared" si="21"/>
        <v>1966.3333333333333</v>
      </c>
      <c r="BL45" s="256">
        <f t="shared" si="17"/>
        <v>16475.907000000003</v>
      </c>
      <c r="BM45" s="256">
        <f t="shared" si="18"/>
        <v>284411.86466666666</v>
      </c>
      <c r="BN45" s="182"/>
      <c r="BO45" s="182"/>
    </row>
    <row r="46" spans="1:67" s="186" customFormat="1" ht="72.75" customHeight="1">
      <c r="A46" s="255" t="s">
        <v>306</v>
      </c>
      <c r="B46" s="255" t="s">
        <v>103</v>
      </c>
      <c r="C46" s="255" t="s">
        <v>307</v>
      </c>
      <c r="D46" s="255" t="s">
        <v>308</v>
      </c>
      <c r="E46" s="255" t="s">
        <v>103</v>
      </c>
      <c r="F46" s="255" t="s">
        <v>106</v>
      </c>
      <c r="G46" s="267">
        <v>5.32</v>
      </c>
      <c r="H46" s="256">
        <f t="shared" si="0"/>
        <v>141222.06</v>
      </c>
      <c r="I46" s="256">
        <v>7</v>
      </c>
      <c r="J46" s="256">
        <v>15</v>
      </c>
      <c r="K46" s="256">
        <v>4</v>
      </c>
      <c r="L46" s="256">
        <f t="shared" si="1"/>
        <v>54919.69</v>
      </c>
      <c r="M46" s="256">
        <f t="shared" si="2"/>
        <v>117685.05</v>
      </c>
      <c r="N46" s="256">
        <f t="shared" si="3"/>
        <v>31382.68</v>
      </c>
      <c r="O46" s="256" t="s">
        <v>309</v>
      </c>
      <c r="P46" s="256"/>
      <c r="Q46" s="256">
        <f>17697*60%</f>
        <v>10618.199999999999</v>
      </c>
      <c r="R46" s="256"/>
      <c r="S46" s="257"/>
      <c r="T46" s="257"/>
      <c r="U46" s="257"/>
      <c r="V46" s="257"/>
      <c r="W46" s="257"/>
      <c r="X46" s="257"/>
      <c r="Y46" s="257"/>
      <c r="Z46" s="257"/>
      <c r="AA46" s="257"/>
      <c r="AB46" s="257"/>
      <c r="AC46" s="257">
        <f t="shared" si="4"/>
        <v>0</v>
      </c>
      <c r="AD46" s="257">
        <f t="shared" si="5"/>
        <v>0</v>
      </c>
      <c r="AE46" s="257">
        <f t="shared" si="6"/>
        <v>0</v>
      </c>
      <c r="AF46" s="257">
        <f t="shared" si="7"/>
        <v>0</v>
      </c>
      <c r="AG46" s="257">
        <f t="shared" si="8"/>
        <v>0</v>
      </c>
      <c r="AH46" s="257">
        <f t="shared" si="9"/>
        <v>0</v>
      </c>
      <c r="AI46" s="257">
        <f t="shared" si="10"/>
        <v>0</v>
      </c>
      <c r="AJ46" s="257">
        <f t="shared" si="11"/>
        <v>0</v>
      </c>
      <c r="AK46" s="257">
        <f t="shared" si="12"/>
        <v>0</v>
      </c>
      <c r="AL46" s="256">
        <f t="shared" si="13"/>
        <v>0</v>
      </c>
      <c r="AM46" s="256" t="s">
        <v>310</v>
      </c>
      <c r="AN46" s="256">
        <f>17697*20%</f>
        <v>3539.4</v>
      </c>
      <c r="AO46" s="256">
        <v>18</v>
      </c>
      <c r="AP46" s="256">
        <f t="shared" si="14"/>
        <v>3539.3999999999996</v>
      </c>
      <c r="AQ46" s="256"/>
      <c r="AR46" s="256"/>
      <c r="AS46" s="256"/>
      <c r="AT46" s="256"/>
      <c r="AU46" s="256"/>
      <c r="AV46" s="256"/>
      <c r="AW46" s="256"/>
      <c r="AX46" s="256"/>
      <c r="AY46" s="256"/>
      <c r="AZ46" s="256"/>
      <c r="BA46" s="256"/>
      <c r="BB46" s="256"/>
      <c r="BC46" s="261">
        <v>26</v>
      </c>
      <c r="BD46" s="256">
        <v>0.4</v>
      </c>
      <c r="BE46" s="259">
        <f t="shared" si="20"/>
        <v>81594.967999999993</v>
      </c>
      <c r="BF46" s="256">
        <v>26</v>
      </c>
      <c r="BG46" s="256">
        <f t="shared" si="16"/>
        <v>61196.226000000002</v>
      </c>
      <c r="BH46" s="256">
        <v>1</v>
      </c>
      <c r="BI46" s="260">
        <f>17697*100%</f>
        <v>17697</v>
      </c>
      <c r="BJ46" s="256">
        <v>1</v>
      </c>
      <c r="BK46" s="256">
        <f t="shared" si="21"/>
        <v>393.26666666666665</v>
      </c>
      <c r="BL46" s="256">
        <f t="shared" si="17"/>
        <v>20398.741999999998</v>
      </c>
      <c r="BM46" s="256">
        <f t="shared" si="18"/>
        <v>402964.62266666663</v>
      </c>
      <c r="BN46" s="182"/>
      <c r="BO46" s="182"/>
    </row>
    <row r="47" spans="1:67" s="186" customFormat="1" ht="72.75" customHeight="1">
      <c r="A47" s="255" t="s">
        <v>311</v>
      </c>
      <c r="B47" s="255" t="s">
        <v>103</v>
      </c>
      <c r="C47" s="255" t="s">
        <v>312</v>
      </c>
      <c r="D47" s="255" t="s">
        <v>115</v>
      </c>
      <c r="E47" s="255" t="s">
        <v>103</v>
      </c>
      <c r="F47" s="255" t="s">
        <v>106</v>
      </c>
      <c r="G47" s="267">
        <v>5.24</v>
      </c>
      <c r="H47" s="256">
        <f t="shared" si="0"/>
        <v>139098.41999999998</v>
      </c>
      <c r="I47" s="256">
        <v>7</v>
      </c>
      <c r="J47" s="256">
        <v>15</v>
      </c>
      <c r="K47" s="256"/>
      <c r="L47" s="256">
        <f t="shared" si="1"/>
        <v>54093.829999999987</v>
      </c>
      <c r="M47" s="256">
        <f t="shared" si="2"/>
        <v>115915.34999999998</v>
      </c>
      <c r="N47" s="256">
        <f t="shared" si="3"/>
        <v>0</v>
      </c>
      <c r="O47" s="256" t="s">
        <v>243</v>
      </c>
      <c r="P47" s="256"/>
      <c r="Q47" s="256">
        <f>17697*60%</f>
        <v>10618.199999999999</v>
      </c>
      <c r="R47" s="256"/>
      <c r="S47" s="257">
        <v>7</v>
      </c>
      <c r="T47" s="257"/>
      <c r="U47" s="257"/>
      <c r="V47" s="257"/>
      <c r="W47" s="257">
        <v>15</v>
      </c>
      <c r="X47" s="257"/>
      <c r="Y47" s="257"/>
      <c r="Z47" s="257"/>
      <c r="AA47" s="257"/>
      <c r="AB47" s="257"/>
      <c r="AC47" s="257">
        <f t="shared" si="4"/>
        <v>1720.5416666666665</v>
      </c>
      <c r="AD47" s="257">
        <f t="shared" si="5"/>
        <v>0</v>
      </c>
      <c r="AE47" s="257">
        <f t="shared" si="6"/>
        <v>0</v>
      </c>
      <c r="AF47" s="257">
        <f t="shared" si="7"/>
        <v>0</v>
      </c>
      <c r="AG47" s="257">
        <f t="shared" si="8"/>
        <v>3686.875</v>
      </c>
      <c r="AH47" s="257">
        <f t="shared" si="9"/>
        <v>0</v>
      </c>
      <c r="AI47" s="257">
        <f t="shared" si="10"/>
        <v>0</v>
      </c>
      <c r="AJ47" s="257">
        <f t="shared" si="11"/>
        <v>0</v>
      </c>
      <c r="AK47" s="257">
        <f t="shared" si="12"/>
        <v>0</v>
      </c>
      <c r="AL47" s="256">
        <f t="shared" si="13"/>
        <v>0</v>
      </c>
      <c r="AM47" s="256"/>
      <c r="AN47" s="256"/>
      <c r="AO47" s="256">
        <v>19</v>
      </c>
      <c r="AP47" s="256">
        <f t="shared" si="14"/>
        <v>3736.0333333333333</v>
      </c>
      <c r="AQ47" s="256"/>
      <c r="AR47" s="256"/>
      <c r="AS47" s="256"/>
      <c r="AT47" s="256"/>
      <c r="AU47" s="256"/>
      <c r="AV47" s="256"/>
      <c r="AW47" s="256"/>
      <c r="AX47" s="256"/>
      <c r="AY47" s="256"/>
      <c r="AZ47" s="256"/>
      <c r="BA47" s="256"/>
      <c r="BB47" s="256"/>
      <c r="BC47" s="261">
        <v>22</v>
      </c>
      <c r="BD47" s="256">
        <v>0.4</v>
      </c>
      <c r="BE47" s="259">
        <f t="shared" si="20"/>
        <v>68003.671999999991</v>
      </c>
      <c r="BF47" s="256">
        <v>22</v>
      </c>
      <c r="BG47" s="256">
        <f t="shared" si="16"/>
        <v>51002.753999999986</v>
      </c>
      <c r="BH47" s="256"/>
      <c r="BI47" s="256"/>
      <c r="BJ47" s="256">
        <v>5</v>
      </c>
      <c r="BK47" s="256">
        <f t="shared" si="21"/>
        <v>1966.3333333333333</v>
      </c>
      <c r="BL47" s="256">
        <f t="shared" si="17"/>
        <v>17000.917999999998</v>
      </c>
      <c r="BM47" s="256">
        <f t="shared" si="18"/>
        <v>327744.50733333325</v>
      </c>
      <c r="BN47" s="182"/>
      <c r="BO47" s="182"/>
    </row>
    <row r="48" spans="1:67" s="186" customFormat="1" ht="72.75" customHeight="1">
      <c r="A48" s="255" t="s">
        <v>313</v>
      </c>
      <c r="B48" s="255" t="s">
        <v>103</v>
      </c>
      <c r="C48" s="255" t="s">
        <v>314</v>
      </c>
      <c r="D48" s="255" t="s">
        <v>115</v>
      </c>
      <c r="E48" s="255" t="s">
        <v>103</v>
      </c>
      <c r="F48" s="255" t="s">
        <v>106</v>
      </c>
      <c r="G48" s="267">
        <v>5.24</v>
      </c>
      <c r="H48" s="256">
        <f t="shared" si="0"/>
        <v>139098.41999999998</v>
      </c>
      <c r="I48" s="256"/>
      <c r="J48" s="256">
        <v>27</v>
      </c>
      <c r="K48" s="256"/>
      <c r="L48" s="256">
        <f t="shared" si="1"/>
        <v>0</v>
      </c>
      <c r="M48" s="256">
        <f t="shared" si="2"/>
        <v>208647.62999999998</v>
      </c>
      <c r="N48" s="256">
        <f t="shared" si="3"/>
        <v>0</v>
      </c>
      <c r="O48" s="256"/>
      <c r="P48" s="256"/>
      <c r="Q48" s="256"/>
      <c r="R48" s="256"/>
      <c r="S48" s="257"/>
      <c r="T48" s="257"/>
      <c r="U48" s="257"/>
      <c r="V48" s="257"/>
      <c r="W48" s="257"/>
      <c r="X48" s="257">
        <v>25</v>
      </c>
      <c r="Y48" s="257"/>
      <c r="Z48" s="257"/>
      <c r="AA48" s="257"/>
      <c r="AB48" s="257"/>
      <c r="AC48" s="257">
        <f t="shared" si="4"/>
        <v>0</v>
      </c>
      <c r="AD48" s="257">
        <f t="shared" si="5"/>
        <v>0</v>
      </c>
      <c r="AE48" s="257">
        <f t="shared" si="6"/>
        <v>0</v>
      </c>
      <c r="AF48" s="257">
        <f t="shared" si="7"/>
        <v>0</v>
      </c>
      <c r="AG48" s="257">
        <f t="shared" si="8"/>
        <v>0</v>
      </c>
      <c r="AH48" s="257">
        <f t="shared" si="9"/>
        <v>12289.583333333332</v>
      </c>
      <c r="AI48" s="257">
        <f t="shared" si="10"/>
        <v>0</v>
      </c>
      <c r="AJ48" s="257">
        <f t="shared" si="11"/>
        <v>0</v>
      </c>
      <c r="AK48" s="257">
        <f t="shared" si="12"/>
        <v>0</v>
      </c>
      <c r="AL48" s="256">
        <f t="shared" si="13"/>
        <v>0</v>
      </c>
      <c r="AM48" s="256"/>
      <c r="AN48" s="256"/>
      <c r="AO48" s="256">
        <v>20</v>
      </c>
      <c r="AP48" s="256">
        <f t="shared" si="14"/>
        <v>3932.6666666666665</v>
      </c>
      <c r="AQ48" s="256"/>
      <c r="AR48" s="256"/>
      <c r="AS48" s="256"/>
      <c r="AT48" s="256"/>
      <c r="AU48" s="256" t="s">
        <v>210</v>
      </c>
      <c r="AV48" s="256">
        <f>17697*100%</f>
        <v>17697</v>
      </c>
      <c r="AW48" s="256"/>
      <c r="AX48" s="256"/>
      <c r="AY48" s="256"/>
      <c r="AZ48" s="256"/>
      <c r="BA48" s="256"/>
      <c r="BB48" s="256"/>
      <c r="BC48" s="261">
        <v>27</v>
      </c>
      <c r="BD48" s="259">
        <v>0.4</v>
      </c>
      <c r="BE48" s="259">
        <f t="shared" si="20"/>
        <v>83459.051999999981</v>
      </c>
      <c r="BF48" s="256">
        <v>27</v>
      </c>
      <c r="BG48" s="256">
        <f t="shared" si="16"/>
        <v>62594.28899999999</v>
      </c>
      <c r="BH48" s="256"/>
      <c r="BI48" s="256"/>
      <c r="BJ48" s="256"/>
      <c r="BK48" s="256">
        <f t="shared" si="21"/>
        <v>0</v>
      </c>
      <c r="BL48" s="256">
        <f t="shared" si="17"/>
        <v>20864.762999999999</v>
      </c>
      <c r="BM48" s="256">
        <f t="shared" si="18"/>
        <v>409484.98399999994</v>
      </c>
      <c r="BN48" s="182"/>
      <c r="BO48" s="182"/>
    </row>
    <row r="49" spans="1:67" s="186" customFormat="1" ht="72.75" customHeight="1">
      <c r="A49" s="255" t="s">
        <v>315</v>
      </c>
      <c r="B49" s="255" t="s">
        <v>103</v>
      </c>
      <c r="C49" s="255" t="s">
        <v>316</v>
      </c>
      <c r="D49" s="255" t="s">
        <v>207</v>
      </c>
      <c r="E49" s="255" t="s">
        <v>103</v>
      </c>
      <c r="F49" s="255" t="s">
        <v>106</v>
      </c>
      <c r="G49" s="267">
        <v>5.24</v>
      </c>
      <c r="H49" s="256">
        <f t="shared" si="0"/>
        <v>139098.41999999998</v>
      </c>
      <c r="I49" s="256"/>
      <c r="J49" s="256">
        <v>10</v>
      </c>
      <c r="K49" s="256">
        <v>8</v>
      </c>
      <c r="L49" s="256">
        <f t="shared" si="1"/>
        <v>0</v>
      </c>
      <c r="M49" s="256">
        <f t="shared" si="2"/>
        <v>77276.899999999994</v>
      </c>
      <c r="N49" s="256">
        <f t="shared" si="3"/>
        <v>61821.51999999999</v>
      </c>
      <c r="O49" s="256"/>
      <c r="P49" s="256"/>
      <c r="Q49" s="256"/>
      <c r="R49" s="256"/>
      <c r="S49" s="257"/>
      <c r="T49" s="257"/>
      <c r="U49" s="257"/>
      <c r="V49" s="257">
        <v>7</v>
      </c>
      <c r="W49" s="257"/>
      <c r="X49" s="257"/>
      <c r="Y49" s="257"/>
      <c r="Z49" s="257">
        <v>8</v>
      </c>
      <c r="AA49" s="257"/>
      <c r="AB49" s="257"/>
      <c r="AC49" s="257">
        <f t="shared" si="4"/>
        <v>0</v>
      </c>
      <c r="AD49" s="257">
        <f t="shared" si="5"/>
        <v>0</v>
      </c>
      <c r="AE49" s="257">
        <f t="shared" si="6"/>
        <v>0</v>
      </c>
      <c r="AF49" s="257">
        <f t="shared" si="7"/>
        <v>2752.8666666666668</v>
      </c>
      <c r="AG49" s="257">
        <f t="shared" si="8"/>
        <v>0</v>
      </c>
      <c r="AH49" s="257">
        <f t="shared" si="9"/>
        <v>0</v>
      </c>
      <c r="AI49" s="257">
        <f t="shared" si="10"/>
        <v>0</v>
      </c>
      <c r="AJ49" s="257">
        <f t="shared" si="11"/>
        <v>3146.1333333333332</v>
      </c>
      <c r="AK49" s="257">
        <f t="shared" si="12"/>
        <v>0</v>
      </c>
      <c r="AL49" s="256">
        <f t="shared" si="13"/>
        <v>0</v>
      </c>
      <c r="AM49" s="256" t="s">
        <v>317</v>
      </c>
      <c r="AN49" s="256">
        <f>17697*20%</f>
        <v>3539.4</v>
      </c>
      <c r="AO49" s="256">
        <v>14</v>
      </c>
      <c r="AP49" s="256">
        <f t="shared" si="14"/>
        <v>2752.8666666666668</v>
      </c>
      <c r="AQ49" s="256"/>
      <c r="AR49" s="256"/>
      <c r="AS49" s="256"/>
      <c r="AT49" s="256"/>
      <c r="AU49" s="256"/>
      <c r="AV49" s="256"/>
      <c r="AW49" s="256"/>
      <c r="AX49" s="256"/>
      <c r="AY49" s="256"/>
      <c r="AZ49" s="256"/>
      <c r="BA49" s="256"/>
      <c r="BB49" s="256"/>
      <c r="BC49" s="261">
        <v>18</v>
      </c>
      <c r="BD49" s="256">
        <v>0.4</v>
      </c>
      <c r="BE49" s="259">
        <f t="shared" si="20"/>
        <v>55639.367999999995</v>
      </c>
      <c r="BF49" s="256">
        <v>18</v>
      </c>
      <c r="BG49" s="256">
        <f t="shared" si="16"/>
        <v>41729.525999999991</v>
      </c>
      <c r="BH49" s="256">
        <v>1</v>
      </c>
      <c r="BI49" s="260">
        <f>17697*100%</f>
        <v>17697</v>
      </c>
      <c r="BJ49" s="256"/>
      <c r="BK49" s="256">
        <f t="shared" si="21"/>
        <v>0</v>
      </c>
      <c r="BL49" s="256">
        <f t="shared" si="17"/>
        <v>13909.841999999999</v>
      </c>
      <c r="BM49" s="256">
        <f t="shared" si="18"/>
        <v>280265.42266666662</v>
      </c>
      <c r="BN49" s="182"/>
      <c r="BO49" s="182"/>
    </row>
    <row r="50" spans="1:67" s="186" customFormat="1" ht="72.75" customHeight="1">
      <c r="A50" s="255" t="s">
        <v>318</v>
      </c>
      <c r="B50" s="255" t="s">
        <v>103</v>
      </c>
      <c r="C50" s="255" t="s">
        <v>319</v>
      </c>
      <c r="D50" s="255" t="s">
        <v>129</v>
      </c>
      <c r="E50" s="255" t="s">
        <v>103</v>
      </c>
      <c r="F50" s="255" t="s">
        <v>106</v>
      </c>
      <c r="G50" s="267">
        <v>5.24</v>
      </c>
      <c r="H50" s="256">
        <f t="shared" si="0"/>
        <v>139098.41999999998</v>
      </c>
      <c r="I50" s="256"/>
      <c r="J50" s="256">
        <v>24</v>
      </c>
      <c r="K50" s="256">
        <v>3</v>
      </c>
      <c r="L50" s="256">
        <f t="shared" si="1"/>
        <v>0</v>
      </c>
      <c r="M50" s="256">
        <f t="shared" si="2"/>
        <v>185464.55999999997</v>
      </c>
      <c r="N50" s="256">
        <f t="shared" si="3"/>
        <v>23183.069999999996</v>
      </c>
      <c r="O50" s="256" t="s">
        <v>309</v>
      </c>
      <c r="P50" s="256"/>
      <c r="Q50" s="256">
        <f>17697*60%</f>
        <v>10618.199999999999</v>
      </c>
      <c r="R50" s="256"/>
      <c r="S50" s="257"/>
      <c r="T50" s="257"/>
      <c r="U50" s="257">
        <v>24</v>
      </c>
      <c r="V50" s="257"/>
      <c r="W50" s="257"/>
      <c r="X50" s="257"/>
      <c r="Y50" s="257">
        <v>3</v>
      </c>
      <c r="Z50" s="257"/>
      <c r="AA50" s="257"/>
      <c r="AB50" s="257"/>
      <c r="AC50" s="257">
        <f t="shared" si="4"/>
        <v>0</v>
      </c>
      <c r="AD50" s="257">
        <f t="shared" si="5"/>
        <v>0</v>
      </c>
      <c r="AE50" s="257">
        <f t="shared" si="6"/>
        <v>4719.2</v>
      </c>
      <c r="AF50" s="257">
        <f t="shared" si="7"/>
        <v>0</v>
      </c>
      <c r="AG50" s="257">
        <f t="shared" si="8"/>
        <v>0</v>
      </c>
      <c r="AH50" s="257">
        <f t="shared" si="9"/>
        <v>0</v>
      </c>
      <c r="AI50" s="257">
        <f t="shared" si="10"/>
        <v>589.9</v>
      </c>
      <c r="AJ50" s="257">
        <f t="shared" si="11"/>
        <v>0</v>
      </c>
      <c r="AK50" s="257">
        <f t="shared" si="12"/>
        <v>0</v>
      </c>
      <c r="AL50" s="256">
        <f t="shared" si="13"/>
        <v>0</v>
      </c>
      <c r="AM50" s="256"/>
      <c r="AN50" s="256"/>
      <c r="AO50" s="256">
        <v>9</v>
      </c>
      <c r="AP50" s="256">
        <f t="shared" si="14"/>
        <v>1769.6999999999998</v>
      </c>
      <c r="AQ50" s="256"/>
      <c r="AR50" s="256"/>
      <c r="AS50" s="256"/>
      <c r="AT50" s="256"/>
      <c r="AU50" s="256"/>
      <c r="AV50" s="256"/>
      <c r="AW50" s="256"/>
      <c r="AX50" s="256"/>
      <c r="AY50" s="256"/>
      <c r="AZ50" s="256"/>
      <c r="BA50" s="256"/>
      <c r="BB50" s="256"/>
      <c r="BC50" s="261">
        <v>27</v>
      </c>
      <c r="BD50" s="256">
        <v>0.4</v>
      </c>
      <c r="BE50" s="259">
        <f t="shared" si="20"/>
        <v>83459.051999999981</v>
      </c>
      <c r="BF50" s="256">
        <v>27</v>
      </c>
      <c r="BG50" s="256">
        <f t="shared" si="16"/>
        <v>62594.28899999999</v>
      </c>
      <c r="BH50" s="256"/>
      <c r="BI50" s="256"/>
      <c r="BJ50" s="256">
        <v>6</v>
      </c>
      <c r="BK50" s="256">
        <f t="shared" si="21"/>
        <v>2359.6</v>
      </c>
      <c r="BL50" s="256">
        <f t="shared" si="17"/>
        <v>20864.762999999999</v>
      </c>
      <c r="BM50" s="256">
        <f t="shared" si="18"/>
        <v>395622.33399999992</v>
      </c>
      <c r="BN50" s="182"/>
      <c r="BO50" s="182"/>
    </row>
    <row r="51" spans="1:67" s="186" customFormat="1" ht="72.75" customHeight="1">
      <c r="A51" s="268" t="s">
        <v>110</v>
      </c>
      <c r="B51" s="268" t="s">
        <v>103</v>
      </c>
      <c r="C51" s="255" t="s">
        <v>111</v>
      </c>
      <c r="D51" s="268" t="s">
        <v>112</v>
      </c>
      <c r="E51" s="255" t="s">
        <v>103</v>
      </c>
      <c r="F51" s="255" t="s">
        <v>106</v>
      </c>
      <c r="G51" s="267">
        <v>5.24</v>
      </c>
      <c r="H51" s="256">
        <f t="shared" si="0"/>
        <v>139098.41999999998</v>
      </c>
      <c r="I51" s="256"/>
      <c r="J51" s="256" t="s">
        <v>320</v>
      </c>
      <c r="K51" s="256" t="s">
        <v>321</v>
      </c>
      <c r="L51" s="256">
        <f t="shared" si="1"/>
        <v>0</v>
      </c>
      <c r="M51" s="256">
        <f t="shared" si="2"/>
        <v>146826.10999999999</v>
      </c>
      <c r="N51" s="256">
        <f t="shared" si="3"/>
        <v>61821.51999999999</v>
      </c>
      <c r="O51" s="256" t="s">
        <v>230</v>
      </c>
      <c r="P51" s="256"/>
      <c r="Q51" s="256">
        <f>17697*60%</f>
        <v>10618.199999999999</v>
      </c>
      <c r="R51" s="256"/>
      <c r="S51" s="257"/>
      <c r="T51" s="257"/>
      <c r="U51" s="257"/>
      <c r="V51" s="257"/>
      <c r="W51" s="257"/>
      <c r="X51" s="257"/>
      <c r="Y51" s="257"/>
      <c r="Z51" s="257"/>
      <c r="AA51" s="257"/>
      <c r="AB51" s="257"/>
      <c r="AC51" s="257">
        <f t="shared" si="4"/>
        <v>0</v>
      </c>
      <c r="AD51" s="257">
        <f t="shared" si="5"/>
        <v>0</v>
      </c>
      <c r="AE51" s="257">
        <f t="shared" si="6"/>
        <v>0</v>
      </c>
      <c r="AF51" s="257">
        <f t="shared" si="7"/>
        <v>0</v>
      </c>
      <c r="AG51" s="257">
        <f t="shared" si="8"/>
        <v>0</v>
      </c>
      <c r="AH51" s="257">
        <f t="shared" si="9"/>
        <v>0</v>
      </c>
      <c r="AI51" s="257">
        <f t="shared" si="10"/>
        <v>0</v>
      </c>
      <c r="AJ51" s="257">
        <f t="shared" si="11"/>
        <v>0</v>
      </c>
      <c r="AK51" s="257">
        <f t="shared" si="12"/>
        <v>0</v>
      </c>
      <c r="AL51" s="256">
        <f t="shared" si="13"/>
        <v>0</v>
      </c>
      <c r="AM51" s="256"/>
      <c r="AN51" s="256"/>
      <c r="AO51" s="256" t="s">
        <v>322</v>
      </c>
      <c r="AP51" s="256">
        <f t="shared" si="14"/>
        <v>4915.833333333333</v>
      </c>
      <c r="AQ51" s="256"/>
      <c r="AR51" s="256"/>
      <c r="AS51" s="256"/>
      <c r="AT51" s="256"/>
      <c r="AU51" s="256"/>
      <c r="AV51" s="256"/>
      <c r="AW51" s="256"/>
      <c r="AX51" s="256"/>
      <c r="AY51" s="256"/>
      <c r="AZ51" s="256"/>
      <c r="BA51" s="256"/>
      <c r="BB51" s="256"/>
      <c r="BC51" s="261" t="s">
        <v>323</v>
      </c>
      <c r="BD51" s="256">
        <v>0.4</v>
      </c>
      <c r="BE51" s="259">
        <f t="shared" si="20"/>
        <v>83459.051999999981</v>
      </c>
      <c r="BF51" s="256" t="s">
        <v>323</v>
      </c>
      <c r="BG51" s="256">
        <f t="shared" si="16"/>
        <v>62594.28899999999</v>
      </c>
      <c r="BH51" s="256"/>
      <c r="BI51" s="256"/>
      <c r="BJ51" s="256">
        <v>3</v>
      </c>
      <c r="BK51" s="256">
        <f t="shared" si="21"/>
        <v>1179.8</v>
      </c>
      <c r="BL51" s="256">
        <f t="shared" si="17"/>
        <v>20864.762999999999</v>
      </c>
      <c r="BM51" s="256">
        <f t="shared" si="18"/>
        <v>392279.56733333325</v>
      </c>
      <c r="BN51" s="182"/>
      <c r="BO51" s="182"/>
    </row>
    <row r="52" spans="1:67" s="186" customFormat="1" ht="72.75" customHeight="1">
      <c r="A52" s="255" t="s">
        <v>324</v>
      </c>
      <c r="B52" s="255" t="s">
        <v>103</v>
      </c>
      <c r="C52" s="255" t="s">
        <v>325</v>
      </c>
      <c r="D52" s="255" t="s">
        <v>129</v>
      </c>
      <c r="E52" s="255" t="s">
        <v>103</v>
      </c>
      <c r="F52" s="255" t="s">
        <v>106</v>
      </c>
      <c r="G52" s="255">
        <v>5.16</v>
      </c>
      <c r="H52" s="256">
        <f t="shared" si="0"/>
        <v>136974.78</v>
      </c>
      <c r="I52" s="256">
        <v>12</v>
      </c>
      <c r="J52" s="256">
        <v>6</v>
      </c>
      <c r="K52" s="256"/>
      <c r="L52" s="256">
        <f t="shared" si="1"/>
        <v>91316.52</v>
      </c>
      <c r="M52" s="256">
        <f t="shared" si="2"/>
        <v>45658.26</v>
      </c>
      <c r="N52" s="256">
        <f t="shared" si="3"/>
        <v>0</v>
      </c>
      <c r="O52" s="256" t="s">
        <v>326</v>
      </c>
      <c r="P52" s="259">
        <f>17697*50%</f>
        <v>8848.5</v>
      </c>
      <c r="Q52" s="256"/>
      <c r="R52" s="256"/>
      <c r="S52" s="257"/>
      <c r="T52" s="257"/>
      <c r="U52" s="257">
        <v>6</v>
      </c>
      <c r="V52" s="257"/>
      <c r="W52" s="257"/>
      <c r="X52" s="257"/>
      <c r="Y52" s="257"/>
      <c r="Z52" s="257"/>
      <c r="AA52" s="257"/>
      <c r="AB52" s="257"/>
      <c r="AC52" s="257">
        <f t="shared" si="4"/>
        <v>0</v>
      </c>
      <c r="AD52" s="257">
        <f t="shared" si="5"/>
        <v>0</v>
      </c>
      <c r="AE52" s="257">
        <f t="shared" si="6"/>
        <v>1179.8</v>
      </c>
      <c r="AF52" s="257">
        <f t="shared" si="7"/>
        <v>0</v>
      </c>
      <c r="AG52" s="257">
        <f t="shared" si="8"/>
        <v>0</v>
      </c>
      <c r="AH52" s="257">
        <f t="shared" si="9"/>
        <v>0</v>
      </c>
      <c r="AI52" s="257">
        <f t="shared" si="10"/>
        <v>0</v>
      </c>
      <c r="AJ52" s="257">
        <f t="shared" si="11"/>
        <v>0</v>
      </c>
      <c r="AK52" s="257">
        <f t="shared" si="12"/>
        <v>0</v>
      </c>
      <c r="AL52" s="256">
        <f t="shared" si="13"/>
        <v>0</v>
      </c>
      <c r="AM52" s="256"/>
      <c r="AN52" s="256"/>
      <c r="AO52" s="256">
        <v>6</v>
      </c>
      <c r="AP52" s="256">
        <f t="shared" si="14"/>
        <v>1179.8</v>
      </c>
      <c r="AQ52" s="256"/>
      <c r="AR52" s="256"/>
      <c r="AS52" s="256"/>
      <c r="AT52" s="256"/>
      <c r="AU52" s="256"/>
      <c r="AV52" s="256"/>
      <c r="AW52" s="256"/>
      <c r="AX52" s="256"/>
      <c r="AY52" s="256"/>
      <c r="AZ52" s="256"/>
      <c r="BA52" s="256"/>
      <c r="BB52" s="256"/>
      <c r="BC52" s="256">
        <v>18</v>
      </c>
      <c r="BD52" s="256"/>
      <c r="BE52" s="259">
        <f t="shared" si="20"/>
        <v>54789.911999999997</v>
      </c>
      <c r="BF52" s="256">
        <v>18</v>
      </c>
      <c r="BG52" s="256">
        <f>H52/18*BF52*30%</f>
        <v>41092.434000000001</v>
      </c>
      <c r="BH52" s="256"/>
      <c r="BI52" s="256"/>
      <c r="BJ52" s="256"/>
      <c r="BK52" s="256">
        <f t="shared" si="21"/>
        <v>0</v>
      </c>
      <c r="BL52" s="256">
        <f t="shared" si="17"/>
        <v>13697.478000000001</v>
      </c>
      <c r="BM52" s="256">
        <f t="shared" si="18"/>
        <v>257762.70399999997</v>
      </c>
      <c r="BN52" s="182"/>
      <c r="BO52" s="182"/>
    </row>
    <row r="53" spans="1:67" s="186" customFormat="1" ht="72.75" customHeight="1">
      <c r="A53" s="255" t="s">
        <v>327</v>
      </c>
      <c r="B53" s="255" t="s">
        <v>103</v>
      </c>
      <c r="C53" s="255" t="s">
        <v>328</v>
      </c>
      <c r="D53" s="255" t="s">
        <v>308</v>
      </c>
      <c r="E53" s="255" t="s">
        <v>103</v>
      </c>
      <c r="F53" s="255" t="s">
        <v>106</v>
      </c>
      <c r="G53" s="255">
        <v>5.16</v>
      </c>
      <c r="H53" s="256">
        <f t="shared" si="0"/>
        <v>136974.78</v>
      </c>
      <c r="I53" s="256">
        <v>8</v>
      </c>
      <c r="J53" s="256">
        <v>18</v>
      </c>
      <c r="K53" s="256"/>
      <c r="L53" s="256">
        <f t="shared" si="1"/>
        <v>60877.68</v>
      </c>
      <c r="M53" s="256">
        <f t="shared" si="2"/>
        <v>136974.78</v>
      </c>
      <c r="N53" s="256">
        <f t="shared" si="3"/>
        <v>0</v>
      </c>
      <c r="O53" s="256"/>
      <c r="P53" s="256"/>
      <c r="Q53" s="256"/>
      <c r="R53" s="256"/>
      <c r="S53" s="257"/>
      <c r="T53" s="257"/>
      <c r="U53" s="257"/>
      <c r="V53" s="257"/>
      <c r="W53" s="257"/>
      <c r="X53" s="257"/>
      <c r="Y53" s="257"/>
      <c r="Z53" s="257"/>
      <c r="AA53" s="257"/>
      <c r="AB53" s="257"/>
      <c r="AC53" s="257">
        <f t="shared" si="4"/>
        <v>0</v>
      </c>
      <c r="AD53" s="257">
        <f t="shared" si="5"/>
        <v>0</v>
      </c>
      <c r="AE53" s="257">
        <f t="shared" si="6"/>
        <v>0</v>
      </c>
      <c r="AF53" s="257">
        <f t="shared" si="7"/>
        <v>0</v>
      </c>
      <c r="AG53" s="257">
        <f t="shared" si="8"/>
        <v>0</v>
      </c>
      <c r="AH53" s="257">
        <f t="shared" si="9"/>
        <v>0</v>
      </c>
      <c r="AI53" s="257">
        <f t="shared" si="10"/>
        <v>0</v>
      </c>
      <c r="AJ53" s="257">
        <f t="shared" si="11"/>
        <v>0</v>
      </c>
      <c r="AK53" s="257">
        <f t="shared" si="12"/>
        <v>0</v>
      </c>
      <c r="AL53" s="256">
        <f t="shared" si="13"/>
        <v>0</v>
      </c>
      <c r="AM53" s="256"/>
      <c r="AN53" s="256"/>
      <c r="AO53" s="256">
        <v>10</v>
      </c>
      <c r="AP53" s="256">
        <f t="shared" si="14"/>
        <v>1966.3333333333333</v>
      </c>
      <c r="AQ53" s="256"/>
      <c r="AR53" s="256"/>
      <c r="AS53" s="256"/>
      <c r="AT53" s="256"/>
      <c r="AU53" s="256"/>
      <c r="AV53" s="256"/>
      <c r="AW53" s="256"/>
      <c r="AX53" s="256"/>
      <c r="AY53" s="256"/>
      <c r="AZ53" s="256"/>
      <c r="BA53" s="256"/>
      <c r="BB53" s="256"/>
      <c r="BC53" s="256">
        <v>26</v>
      </c>
      <c r="BD53" s="256"/>
      <c r="BE53" s="259">
        <f t="shared" si="20"/>
        <v>79140.983999999997</v>
      </c>
      <c r="BF53" s="256">
        <v>26</v>
      </c>
      <c r="BG53" s="256">
        <f>H53/18*BF53*30%</f>
        <v>59355.737999999998</v>
      </c>
      <c r="BH53" s="256">
        <v>1</v>
      </c>
      <c r="BI53" s="260">
        <f>17697*100%</f>
        <v>17697</v>
      </c>
      <c r="BJ53" s="256">
        <v>1</v>
      </c>
      <c r="BK53" s="256">
        <f t="shared" si="21"/>
        <v>393.26666666666665</v>
      </c>
      <c r="BL53" s="256">
        <f t="shared" si="17"/>
        <v>19785.245999999999</v>
      </c>
      <c r="BM53" s="256">
        <f t="shared" si="18"/>
        <v>376191.02799999999</v>
      </c>
      <c r="BN53" s="182"/>
      <c r="BO53" s="182"/>
    </row>
    <row r="54" spans="1:67" s="186" customFormat="1" ht="72.75" customHeight="1">
      <c r="A54" s="255" t="s">
        <v>329</v>
      </c>
      <c r="B54" s="255" t="s">
        <v>103</v>
      </c>
      <c r="C54" s="255" t="s">
        <v>330</v>
      </c>
      <c r="D54" s="255" t="s">
        <v>115</v>
      </c>
      <c r="E54" s="255" t="s">
        <v>103</v>
      </c>
      <c r="F54" s="255" t="s">
        <v>106</v>
      </c>
      <c r="G54" s="255">
        <v>5.08</v>
      </c>
      <c r="H54" s="256">
        <f t="shared" si="0"/>
        <v>134851.13999999998</v>
      </c>
      <c r="I54" s="256"/>
      <c r="J54" s="256">
        <v>6</v>
      </c>
      <c r="K54" s="256"/>
      <c r="L54" s="256">
        <f t="shared" si="1"/>
        <v>0</v>
      </c>
      <c r="M54" s="256">
        <f t="shared" si="2"/>
        <v>44950.38</v>
      </c>
      <c r="N54" s="256">
        <f t="shared" si="3"/>
        <v>0</v>
      </c>
      <c r="O54" s="256"/>
      <c r="P54" s="256"/>
      <c r="Q54" s="256"/>
      <c r="R54" s="256"/>
      <c r="S54" s="257"/>
      <c r="T54" s="257"/>
      <c r="U54" s="257"/>
      <c r="V54" s="257"/>
      <c r="W54" s="257"/>
      <c r="X54" s="257"/>
      <c r="Y54" s="257"/>
      <c r="Z54" s="257"/>
      <c r="AA54" s="257"/>
      <c r="AB54" s="257"/>
      <c r="AC54" s="257">
        <f t="shared" si="4"/>
        <v>0</v>
      </c>
      <c r="AD54" s="257">
        <f t="shared" si="5"/>
        <v>0</v>
      </c>
      <c r="AE54" s="257">
        <f t="shared" si="6"/>
        <v>0</v>
      </c>
      <c r="AF54" s="257">
        <f t="shared" si="7"/>
        <v>0</v>
      </c>
      <c r="AG54" s="257">
        <f t="shared" si="8"/>
        <v>0</v>
      </c>
      <c r="AH54" s="257">
        <f t="shared" si="9"/>
        <v>0</v>
      </c>
      <c r="AI54" s="257">
        <f t="shared" si="10"/>
        <v>0</v>
      </c>
      <c r="AJ54" s="257">
        <f t="shared" si="11"/>
        <v>0</v>
      </c>
      <c r="AK54" s="257">
        <f t="shared" si="12"/>
        <v>0</v>
      </c>
      <c r="AL54" s="256">
        <f t="shared" si="13"/>
        <v>0</v>
      </c>
      <c r="AM54" s="256"/>
      <c r="AN54" s="256"/>
      <c r="AO54" s="256"/>
      <c r="AP54" s="256">
        <f t="shared" si="14"/>
        <v>0</v>
      </c>
      <c r="AQ54" s="256"/>
      <c r="AR54" s="256"/>
      <c r="AS54" s="256"/>
      <c r="AT54" s="256"/>
      <c r="AU54" s="256"/>
      <c r="AV54" s="256"/>
      <c r="AW54" s="256"/>
      <c r="AX54" s="256"/>
      <c r="AY54" s="256"/>
      <c r="AZ54" s="256"/>
      <c r="BA54" s="256"/>
      <c r="BB54" s="256"/>
      <c r="BC54" s="261">
        <v>6</v>
      </c>
      <c r="BD54" s="256">
        <v>0.4</v>
      </c>
      <c r="BE54" s="259">
        <f t="shared" si="20"/>
        <v>17980.152000000002</v>
      </c>
      <c r="BF54" s="256">
        <v>6</v>
      </c>
      <c r="BG54" s="256">
        <f t="shared" si="16"/>
        <v>13485.114</v>
      </c>
      <c r="BH54" s="256"/>
      <c r="BI54" s="256"/>
      <c r="BJ54" s="256"/>
      <c r="BK54" s="256">
        <f t="shared" si="21"/>
        <v>0</v>
      </c>
      <c r="BL54" s="256">
        <f t="shared" si="17"/>
        <v>4495.0379999999996</v>
      </c>
      <c r="BM54" s="256">
        <f t="shared" si="18"/>
        <v>80910.683999999994</v>
      </c>
      <c r="BN54" s="182"/>
      <c r="BO54" s="182"/>
    </row>
    <row r="55" spans="1:67" s="186" customFormat="1" ht="72.75" customHeight="1">
      <c r="A55" s="255" t="s">
        <v>331</v>
      </c>
      <c r="B55" s="255" t="s">
        <v>103</v>
      </c>
      <c r="C55" s="255" t="s">
        <v>332</v>
      </c>
      <c r="D55" s="255" t="s">
        <v>124</v>
      </c>
      <c r="E55" s="255" t="s">
        <v>103</v>
      </c>
      <c r="F55" s="255" t="s">
        <v>106</v>
      </c>
      <c r="G55" s="255">
        <v>5.08</v>
      </c>
      <c r="H55" s="256">
        <f t="shared" si="0"/>
        <v>134851.13999999998</v>
      </c>
      <c r="I55" s="256"/>
      <c r="J55" s="256">
        <v>11</v>
      </c>
      <c r="K55" s="256">
        <v>16</v>
      </c>
      <c r="L55" s="256">
        <f t="shared" si="1"/>
        <v>0</v>
      </c>
      <c r="M55" s="256">
        <f t="shared" si="2"/>
        <v>82409.03</v>
      </c>
      <c r="N55" s="256">
        <f t="shared" si="3"/>
        <v>119867.68</v>
      </c>
      <c r="O55" s="256" t="s">
        <v>285</v>
      </c>
      <c r="P55" s="256"/>
      <c r="Q55" s="256">
        <f>17697*60%</f>
        <v>10618.199999999999</v>
      </c>
      <c r="R55" s="256"/>
      <c r="S55" s="257"/>
      <c r="T55" s="257"/>
      <c r="U55" s="257"/>
      <c r="V55" s="257"/>
      <c r="W55" s="257"/>
      <c r="X55" s="257"/>
      <c r="Y55" s="257"/>
      <c r="Z55" s="257"/>
      <c r="AA55" s="257"/>
      <c r="AB55" s="257"/>
      <c r="AC55" s="257">
        <f t="shared" si="4"/>
        <v>0</v>
      </c>
      <c r="AD55" s="257">
        <f t="shared" si="5"/>
        <v>0</v>
      </c>
      <c r="AE55" s="257">
        <f t="shared" si="6"/>
        <v>0</v>
      </c>
      <c r="AF55" s="257">
        <f t="shared" si="7"/>
        <v>0</v>
      </c>
      <c r="AG55" s="257">
        <f t="shared" si="8"/>
        <v>0</v>
      </c>
      <c r="AH55" s="257">
        <f t="shared" si="9"/>
        <v>0</v>
      </c>
      <c r="AI55" s="257">
        <f t="shared" si="10"/>
        <v>0</v>
      </c>
      <c r="AJ55" s="257">
        <f t="shared" si="11"/>
        <v>0</v>
      </c>
      <c r="AK55" s="257">
        <f t="shared" si="12"/>
        <v>0</v>
      </c>
      <c r="AL55" s="256">
        <f t="shared" si="13"/>
        <v>0</v>
      </c>
      <c r="AM55" s="256" t="s">
        <v>333</v>
      </c>
      <c r="AN55" s="256">
        <f>17697*20%</f>
        <v>3539.4</v>
      </c>
      <c r="AO55" s="256">
        <v>24</v>
      </c>
      <c r="AP55" s="256">
        <f t="shared" si="14"/>
        <v>4719.2</v>
      </c>
      <c r="AQ55" s="256"/>
      <c r="AR55" s="256"/>
      <c r="AS55" s="256"/>
      <c r="AT55" s="256"/>
      <c r="AU55" s="256"/>
      <c r="AV55" s="256"/>
      <c r="AW55" s="256"/>
      <c r="AX55" s="256"/>
      <c r="AY55" s="256"/>
      <c r="AZ55" s="256"/>
      <c r="BA55" s="256"/>
      <c r="BB55" s="256"/>
      <c r="BC55" s="261">
        <v>27</v>
      </c>
      <c r="BD55" s="256">
        <v>0.4</v>
      </c>
      <c r="BE55" s="259">
        <f t="shared" si="20"/>
        <v>80910.683999999994</v>
      </c>
      <c r="BF55" s="256">
        <v>27</v>
      </c>
      <c r="BG55" s="256">
        <f t="shared" si="16"/>
        <v>60683.012999999992</v>
      </c>
      <c r="BH55" s="256"/>
      <c r="BI55" s="256"/>
      <c r="BJ55" s="256">
        <v>14</v>
      </c>
      <c r="BK55" s="256">
        <f t="shared" si="21"/>
        <v>5505.7333333333336</v>
      </c>
      <c r="BL55" s="256">
        <f t="shared" si="17"/>
        <v>20227.671000000002</v>
      </c>
      <c r="BM55" s="256">
        <f t="shared" si="18"/>
        <v>388480.61133333331</v>
      </c>
      <c r="BN55" s="182"/>
      <c r="BO55" s="182"/>
    </row>
    <row r="56" spans="1:67" s="186" customFormat="1" ht="72.75" customHeight="1">
      <c r="A56" s="255" t="s">
        <v>113</v>
      </c>
      <c r="B56" s="255" t="s">
        <v>103</v>
      </c>
      <c r="C56" s="255" t="s">
        <v>114</v>
      </c>
      <c r="D56" s="255" t="s">
        <v>115</v>
      </c>
      <c r="E56" s="255" t="s">
        <v>116</v>
      </c>
      <c r="F56" s="255" t="s">
        <v>117</v>
      </c>
      <c r="G56" s="267">
        <v>5.2</v>
      </c>
      <c r="H56" s="256">
        <f t="shared" si="0"/>
        <v>138036.6</v>
      </c>
      <c r="I56" s="256">
        <v>4</v>
      </c>
      <c r="J56" s="256" t="s">
        <v>334</v>
      </c>
      <c r="K56" s="256"/>
      <c r="L56" s="256">
        <f t="shared" si="1"/>
        <v>30674.800000000003</v>
      </c>
      <c r="M56" s="256">
        <f t="shared" si="2"/>
        <v>76687</v>
      </c>
      <c r="N56" s="256">
        <f t="shared" si="3"/>
        <v>0</v>
      </c>
      <c r="O56" s="256" t="s">
        <v>335</v>
      </c>
      <c r="P56" s="256"/>
      <c r="Q56" s="256">
        <f>17697*60%</f>
        <v>10618.199999999999</v>
      </c>
      <c r="R56" s="256"/>
      <c r="S56" s="257">
        <v>4</v>
      </c>
      <c r="T56" s="257"/>
      <c r="U56" s="257"/>
      <c r="V56" s="257"/>
      <c r="W56" s="257">
        <v>10</v>
      </c>
      <c r="X56" s="257"/>
      <c r="Y56" s="257"/>
      <c r="Z56" s="257"/>
      <c r="AA56" s="257"/>
      <c r="AB56" s="257"/>
      <c r="AC56" s="257">
        <f t="shared" si="4"/>
        <v>983.16666666666663</v>
      </c>
      <c r="AD56" s="257">
        <f t="shared" si="5"/>
        <v>0</v>
      </c>
      <c r="AE56" s="257">
        <f t="shared" si="6"/>
        <v>0</v>
      </c>
      <c r="AF56" s="257">
        <f t="shared" si="7"/>
        <v>0</v>
      </c>
      <c r="AG56" s="257">
        <f t="shared" si="8"/>
        <v>2457.9166666666665</v>
      </c>
      <c r="AH56" s="257">
        <f t="shared" si="9"/>
        <v>0</v>
      </c>
      <c r="AI56" s="257">
        <f t="shared" si="10"/>
        <v>0</v>
      </c>
      <c r="AJ56" s="257">
        <f t="shared" si="11"/>
        <v>0</v>
      </c>
      <c r="AK56" s="257">
        <f t="shared" si="12"/>
        <v>0</v>
      </c>
      <c r="AL56" s="256">
        <f t="shared" si="13"/>
        <v>0</v>
      </c>
      <c r="AM56" s="256"/>
      <c r="AN56" s="256"/>
      <c r="AO56" s="256"/>
      <c r="AP56" s="256">
        <f t="shared" si="14"/>
        <v>0</v>
      </c>
      <c r="AQ56" s="256"/>
      <c r="AR56" s="256"/>
      <c r="AS56" s="256"/>
      <c r="AT56" s="256"/>
      <c r="AU56" s="256"/>
      <c r="AV56" s="256"/>
      <c r="AW56" s="256"/>
      <c r="AX56" s="256"/>
      <c r="AY56" s="256"/>
      <c r="AZ56" s="261">
        <v>14</v>
      </c>
      <c r="BA56" s="256">
        <v>0.35</v>
      </c>
      <c r="BB56" s="256">
        <f>H56/18*35%*(I56+J56+K56)</f>
        <v>37576.630000000005</v>
      </c>
      <c r="BC56" s="256"/>
      <c r="BD56" s="256"/>
      <c r="BE56" s="256"/>
      <c r="BF56" s="256">
        <v>14</v>
      </c>
      <c r="BG56" s="256">
        <f t="shared" si="16"/>
        <v>32208.540000000005</v>
      </c>
      <c r="BH56" s="256"/>
      <c r="BI56" s="256"/>
      <c r="BJ56" s="256"/>
      <c r="BK56" s="256">
        <f t="shared" si="21"/>
        <v>0</v>
      </c>
      <c r="BL56" s="256">
        <f t="shared" si="17"/>
        <v>10736.18</v>
      </c>
      <c r="BM56" s="256">
        <f t="shared" si="18"/>
        <v>201942.43333333335</v>
      </c>
      <c r="BN56" s="182"/>
      <c r="BO56" s="182"/>
    </row>
    <row r="57" spans="1:67" s="186" customFormat="1" ht="72.75" customHeight="1">
      <c r="A57" s="255" t="s">
        <v>336</v>
      </c>
      <c r="B57" s="255" t="s">
        <v>103</v>
      </c>
      <c r="C57" s="255" t="s">
        <v>337</v>
      </c>
      <c r="D57" s="255" t="s">
        <v>242</v>
      </c>
      <c r="E57" s="255" t="s">
        <v>116</v>
      </c>
      <c r="F57" s="255" t="s">
        <v>117</v>
      </c>
      <c r="G57" s="267">
        <v>5.2</v>
      </c>
      <c r="H57" s="256">
        <f t="shared" si="0"/>
        <v>138036.6</v>
      </c>
      <c r="I57" s="256"/>
      <c r="J57" s="256">
        <v>22</v>
      </c>
      <c r="K57" s="256"/>
      <c r="L57" s="256">
        <f t="shared" si="1"/>
        <v>0</v>
      </c>
      <c r="M57" s="256">
        <f t="shared" si="2"/>
        <v>168711.40000000002</v>
      </c>
      <c r="N57" s="256">
        <f t="shared" si="3"/>
        <v>0</v>
      </c>
      <c r="O57" s="256"/>
      <c r="P57" s="256"/>
      <c r="Q57" s="256"/>
      <c r="R57" s="256"/>
      <c r="S57" s="257"/>
      <c r="T57" s="257"/>
      <c r="U57" s="257"/>
      <c r="V57" s="257"/>
      <c r="W57" s="257"/>
      <c r="X57" s="257"/>
      <c r="Y57" s="257"/>
      <c r="Z57" s="257"/>
      <c r="AA57" s="257"/>
      <c r="AB57" s="257"/>
      <c r="AC57" s="257">
        <f t="shared" si="4"/>
        <v>0</v>
      </c>
      <c r="AD57" s="257">
        <f t="shared" si="5"/>
        <v>0</v>
      </c>
      <c r="AE57" s="257">
        <f t="shared" si="6"/>
        <v>0</v>
      </c>
      <c r="AF57" s="257">
        <f t="shared" si="7"/>
        <v>0</v>
      </c>
      <c r="AG57" s="257">
        <f t="shared" si="8"/>
        <v>0</v>
      </c>
      <c r="AH57" s="257">
        <f t="shared" si="9"/>
        <v>0</v>
      </c>
      <c r="AI57" s="257">
        <f t="shared" si="10"/>
        <v>0</v>
      </c>
      <c r="AJ57" s="257">
        <f t="shared" si="11"/>
        <v>0</v>
      </c>
      <c r="AK57" s="257">
        <f t="shared" si="12"/>
        <v>0</v>
      </c>
      <c r="AL57" s="256">
        <f t="shared" si="13"/>
        <v>0</v>
      </c>
      <c r="AM57" s="256"/>
      <c r="AN57" s="256"/>
      <c r="AO57" s="256">
        <v>5</v>
      </c>
      <c r="AP57" s="256">
        <f t="shared" si="14"/>
        <v>983.16666666666663</v>
      </c>
      <c r="AQ57" s="256"/>
      <c r="AR57" s="256"/>
      <c r="AS57" s="256"/>
      <c r="AT57" s="256"/>
      <c r="AU57" s="256"/>
      <c r="AV57" s="256"/>
      <c r="AW57" s="256"/>
      <c r="AX57" s="256"/>
      <c r="AY57" s="256"/>
      <c r="AZ57" s="261">
        <v>22</v>
      </c>
      <c r="BA57" s="256">
        <v>0.35</v>
      </c>
      <c r="BB57" s="256">
        <f t="shared" ref="BB57:BB78" si="22">H57/18*35%*(I57+J57+K57)</f>
        <v>59048.990000000005</v>
      </c>
      <c r="BC57" s="256"/>
      <c r="BD57" s="256"/>
      <c r="BE57" s="256"/>
      <c r="BF57" s="256">
        <v>22</v>
      </c>
      <c r="BG57" s="256">
        <f t="shared" si="16"/>
        <v>50613.420000000006</v>
      </c>
      <c r="BH57" s="256"/>
      <c r="BI57" s="256"/>
      <c r="BJ57" s="256"/>
      <c r="BK57" s="256">
        <f t="shared" si="21"/>
        <v>0</v>
      </c>
      <c r="BL57" s="256">
        <f t="shared" si="17"/>
        <v>16871.140000000003</v>
      </c>
      <c r="BM57" s="256">
        <f t="shared" si="18"/>
        <v>296228.1166666667</v>
      </c>
      <c r="BN57" s="182"/>
      <c r="BO57" s="182"/>
    </row>
    <row r="58" spans="1:67" s="186" customFormat="1" ht="72.75" customHeight="1">
      <c r="A58" s="255" t="s">
        <v>338</v>
      </c>
      <c r="B58" s="255" t="s">
        <v>103</v>
      </c>
      <c r="C58" s="255" t="s">
        <v>339</v>
      </c>
      <c r="D58" s="255" t="s">
        <v>140</v>
      </c>
      <c r="E58" s="255" t="s">
        <v>116</v>
      </c>
      <c r="F58" s="255" t="s">
        <v>117</v>
      </c>
      <c r="G58" s="267">
        <v>5.2</v>
      </c>
      <c r="H58" s="256">
        <f t="shared" si="0"/>
        <v>138036.6</v>
      </c>
      <c r="I58" s="256">
        <v>27</v>
      </c>
      <c r="J58" s="256"/>
      <c r="K58" s="256"/>
      <c r="L58" s="256">
        <f t="shared" si="1"/>
        <v>207054.90000000002</v>
      </c>
      <c r="M58" s="256">
        <f t="shared" si="2"/>
        <v>0</v>
      </c>
      <c r="N58" s="256">
        <f t="shared" si="3"/>
        <v>0</v>
      </c>
      <c r="O58" s="256" t="s">
        <v>340</v>
      </c>
      <c r="P58" s="259">
        <f>17697*50%</f>
        <v>8848.5</v>
      </c>
      <c r="Q58" s="256"/>
      <c r="R58" s="256"/>
      <c r="S58" s="257"/>
      <c r="T58" s="257">
        <v>24</v>
      </c>
      <c r="U58" s="257"/>
      <c r="V58" s="257"/>
      <c r="W58" s="257"/>
      <c r="X58" s="257"/>
      <c r="Y58" s="257"/>
      <c r="Z58" s="257"/>
      <c r="AA58" s="257"/>
      <c r="AB58" s="257"/>
      <c r="AC58" s="257">
        <f t="shared" si="4"/>
        <v>0</v>
      </c>
      <c r="AD58" s="257">
        <f t="shared" si="5"/>
        <v>9438.4</v>
      </c>
      <c r="AE58" s="257">
        <f t="shared" si="6"/>
        <v>0</v>
      </c>
      <c r="AF58" s="257">
        <f t="shared" si="7"/>
        <v>0</v>
      </c>
      <c r="AG58" s="257">
        <f t="shared" si="8"/>
        <v>0</v>
      </c>
      <c r="AH58" s="257">
        <f t="shared" si="9"/>
        <v>0</v>
      </c>
      <c r="AI58" s="257">
        <f t="shared" si="10"/>
        <v>0</v>
      </c>
      <c r="AJ58" s="257">
        <f t="shared" si="11"/>
        <v>0</v>
      </c>
      <c r="AK58" s="257">
        <f t="shared" si="12"/>
        <v>0</v>
      </c>
      <c r="AL58" s="256">
        <f t="shared" si="13"/>
        <v>0</v>
      </c>
      <c r="AM58" s="256" t="s">
        <v>341</v>
      </c>
      <c r="AN58" s="256">
        <f>17697*20%</f>
        <v>3539.4</v>
      </c>
      <c r="AO58" s="256"/>
      <c r="AP58" s="256">
        <f t="shared" si="14"/>
        <v>0</v>
      </c>
      <c r="AQ58" s="256"/>
      <c r="AR58" s="256"/>
      <c r="AS58" s="256"/>
      <c r="AT58" s="256"/>
      <c r="AU58" s="256"/>
      <c r="AV58" s="256"/>
      <c r="AW58" s="256"/>
      <c r="AX58" s="256"/>
      <c r="AY58" s="256"/>
      <c r="AZ58" s="261">
        <v>27</v>
      </c>
      <c r="BA58" s="256">
        <v>0.35</v>
      </c>
      <c r="BB58" s="256">
        <f t="shared" si="22"/>
        <v>72469.214999999997</v>
      </c>
      <c r="BC58" s="256"/>
      <c r="BD58" s="256"/>
      <c r="BE58" s="256"/>
      <c r="BF58" s="256">
        <v>27</v>
      </c>
      <c r="BG58" s="256">
        <f t="shared" si="16"/>
        <v>62116.47</v>
      </c>
      <c r="BH58" s="256"/>
      <c r="BI58" s="256"/>
      <c r="BJ58" s="256"/>
      <c r="BK58" s="256">
        <f t="shared" si="21"/>
        <v>0</v>
      </c>
      <c r="BL58" s="256">
        <f t="shared" si="17"/>
        <v>20705.490000000005</v>
      </c>
      <c r="BM58" s="256">
        <f t="shared" si="18"/>
        <v>384172.375</v>
      </c>
      <c r="BN58" s="182"/>
      <c r="BO58" s="182"/>
    </row>
    <row r="59" spans="1:67" s="186" customFormat="1" ht="72.75" customHeight="1">
      <c r="A59" s="255" t="s">
        <v>342</v>
      </c>
      <c r="B59" s="255" t="s">
        <v>103</v>
      </c>
      <c r="C59" s="255" t="s">
        <v>343</v>
      </c>
      <c r="D59" s="255" t="s">
        <v>242</v>
      </c>
      <c r="E59" s="255" t="s">
        <v>116</v>
      </c>
      <c r="F59" s="255" t="s">
        <v>117</v>
      </c>
      <c r="G59" s="255">
        <v>5.12</v>
      </c>
      <c r="H59" s="256">
        <f t="shared" si="0"/>
        <v>135912.95999999999</v>
      </c>
      <c r="I59" s="256"/>
      <c r="J59" s="256">
        <v>22</v>
      </c>
      <c r="K59" s="256">
        <v>4</v>
      </c>
      <c r="L59" s="256">
        <f t="shared" si="1"/>
        <v>0</v>
      </c>
      <c r="M59" s="256">
        <f t="shared" si="2"/>
        <v>166115.84</v>
      </c>
      <c r="N59" s="256">
        <f t="shared" si="3"/>
        <v>30202.879999999997</v>
      </c>
      <c r="O59" s="256"/>
      <c r="P59" s="256"/>
      <c r="Q59" s="256"/>
      <c r="R59" s="256"/>
      <c r="S59" s="257"/>
      <c r="T59" s="257"/>
      <c r="U59" s="257"/>
      <c r="V59" s="257"/>
      <c r="W59" s="257"/>
      <c r="X59" s="257"/>
      <c r="Y59" s="257"/>
      <c r="Z59" s="257"/>
      <c r="AA59" s="257"/>
      <c r="AB59" s="257"/>
      <c r="AC59" s="257">
        <f t="shared" si="4"/>
        <v>0</v>
      </c>
      <c r="AD59" s="257">
        <f t="shared" si="5"/>
        <v>0</v>
      </c>
      <c r="AE59" s="257">
        <f t="shared" si="6"/>
        <v>0</v>
      </c>
      <c r="AF59" s="257">
        <f t="shared" si="7"/>
        <v>0</v>
      </c>
      <c r="AG59" s="257">
        <f t="shared" si="8"/>
        <v>0</v>
      </c>
      <c r="AH59" s="257">
        <f t="shared" si="9"/>
        <v>0</v>
      </c>
      <c r="AI59" s="257">
        <f t="shared" si="10"/>
        <v>0</v>
      </c>
      <c r="AJ59" s="257">
        <f t="shared" si="11"/>
        <v>0</v>
      </c>
      <c r="AK59" s="257">
        <f t="shared" si="12"/>
        <v>0</v>
      </c>
      <c r="AL59" s="256">
        <f t="shared" si="13"/>
        <v>0</v>
      </c>
      <c r="AM59" s="256"/>
      <c r="AN59" s="256"/>
      <c r="AO59" s="256">
        <v>15</v>
      </c>
      <c r="AP59" s="256">
        <f t="shared" si="14"/>
        <v>2949.5</v>
      </c>
      <c r="AQ59" s="256"/>
      <c r="AR59" s="256"/>
      <c r="AS59" s="256"/>
      <c r="AT59" s="256"/>
      <c r="AU59" s="256"/>
      <c r="AV59" s="256"/>
      <c r="AW59" s="256"/>
      <c r="AX59" s="256"/>
      <c r="AY59" s="256"/>
      <c r="AZ59" s="256"/>
      <c r="BA59" s="256"/>
      <c r="BB59" s="256"/>
      <c r="BC59" s="256"/>
      <c r="BD59" s="256"/>
      <c r="BE59" s="256"/>
      <c r="BF59" s="256">
        <v>26</v>
      </c>
      <c r="BG59" s="256">
        <f t="shared" si="16"/>
        <v>58895.615999999987</v>
      </c>
      <c r="BH59" s="256"/>
      <c r="BI59" s="256"/>
      <c r="BJ59" s="256">
        <v>1</v>
      </c>
      <c r="BK59" s="256">
        <f t="shared" si="21"/>
        <v>393.26666666666665</v>
      </c>
      <c r="BL59" s="256">
        <f t="shared" si="17"/>
        <v>19631.871999999999</v>
      </c>
      <c r="BM59" s="256">
        <f t="shared" si="18"/>
        <v>278188.97466666665</v>
      </c>
      <c r="BN59" s="182"/>
      <c r="BO59" s="182"/>
    </row>
    <row r="60" spans="1:67" s="186" customFormat="1" ht="72.75" customHeight="1">
      <c r="A60" s="255" t="s">
        <v>344</v>
      </c>
      <c r="B60" s="255" t="s">
        <v>103</v>
      </c>
      <c r="C60" s="255" t="s">
        <v>345</v>
      </c>
      <c r="D60" s="255" t="s">
        <v>115</v>
      </c>
      <c r="E60" s="255" t="s">
        <v>116</v>
      </c>
      <c r="F60" s="255" t="s">
        <v>117</v>
      </c>
      <c r="G60" s="255">
        <v>5.12</v>
      </c>
      <c r="H60" s="256">
        <f t="shared" si="0"/>
        <v>135912.95999999999</v>
      </c>
      <c r="I60" s="256"/>
      <c r="J60" s="256">
        <v>19</v>
      </c>
      <c r="K60" s="256">
        <v>8</v>
      </c>
      <c r="L60" s="256">
        <f t="shared" si="1"/>
        <v>0</v>
      </c>
      <c r="M60" s="256">
        <f t="shared" si="2"/>
        <v>143463.67999999999</v>
      </c>
      <c r="N60" s="256">
        <f t="shared" si="3"/>
        <v>60405.759999999995</v>
      </c>
      <c r="O60" s="256" t="s">
        <v>287</v>
      </c>
      <c r="P60" s="256"/>
      <c r="Q60" s="256"/>
      <c r="R60" s="256">
        <f>17697*60%/2</f>
        <v>5309.0999999999995</v>
      </c>
      <c r="S60" s="257"/>
      <c r="T60" s="257"/>
      <c r="U60" s="257"/>
      <c r="V60" s="257"/>
      <c r="W60" s="257"/>
      <c r="X60" s="257">
        <v>15</v>
      </c>
      <c r="Y60" s="257"/>
      <c r="Z60" s="257"/>
      <c r="AA60" s="257"/>
      <c r="AB60" s="257">
        <v>6</v>
      </c>
      <c r="AC60" s="257">
        <f t="shared" si="4"/>
        <v>0</v>
      </c>
      <c r="AD60" s="257">
        <f t="shared" si="5"/>
        <v>0</v>
      </c>
      <c r="AE60" s="257">
        <f t="shared" si="6"/>
        <v>0</v>
      </c>
      <c r="AF60" s="257">
        <f t="shared" si="7"/>
        <v>0</v>
      </c>
      <c r="AG60" s="257">
        <f t="shared" si="8"/>
        <v>0</v>
      </c>
      <c r="AH60" s="257">
        <f t="shared" si="9"/>
        <v>7373.75</v>
      </c>
      <c r="AI60" s="257">
        <f t="shared" si="10"/>
        <v>0</v>
      </c>
      <c r="AJ60" s="257">
        <f t="shared" si="11"/>
        <v>0</v>
      </c>
      <c r="AK60" s="257">
        <f t="shared" si="12"/>
        <v>0</v>
      </c>
      <c r="AL60" s="256">
        <f t="shared" si="13"/>
        <v>2949.5</v>
      </c>
      <c r="AM60" s="256"/>
      <c r="AN60" s="256"/>
      <c r="AO60" s="256">
        <v>13</v>
      </c>
      <c r="AP60" s="256">
        <f t="shared" si="14"/>
        <v>2556.2333333333331</v>
      </c>
      <c r="AQ60" s="256"/>
      <c r="AR60" s="256"/>
      <c r="AS60" s="256"/>
      <c r="AT60" s="256"/>
      <c r="AU60" s="256"/>
      <c r="AV60" s="256"/>
      <c r="AW60" s="256"/>
      <c r="AX60" s="256"/>
      <c r="AY60" s="256"/>
      <c r="AZ60" s="256"/>
      <c r="BA60" s="256"/>
      <c r="BB60" s="256"/>
      <c r="BC60" s="256"/>
      <c r="BD60" s="256"/>
      <c r="BE60" s="256"/>
      <c r="BF60" s="256">
        <v>27</v>
      </c>
      <c r="BG60" s="256">
        <f t="shared" si="16"/>
        <v>61160.831999999988</v>
      </c>
      <c r="BH60" s="256"/>
      <c r="BI60" s="256"/>
      <c r="BJ60" s="256">
        <v>8</v>
      </c>
      <c r="BK60" s="256">
        <f t="shared" si="21"/>
        <v>3146.1333333333332</v>
      </c>
      <c r="BL60" s="256">
        <f t="shared" si="17"/>
        <v>20386.944000000003</v>
      </c>
      <c r="BM60" s="256">
        <f t="shared" si="18"/>
        <v>306751.93266666669</v>
      </c>
      <c r="BN60" s="182"/>
      <c r="BO60" s="182"/>
    </row>
    <row r="61" spans="1:67" s="186" customFormat="1" ht="72.75" customHeight="1">
      <c r="A61" s="255" t="s">
        <v>118</v>
      </c>
      <c r="B61" s="255" t="s">
        <v>103</v>
      </c>
      <c r="C61" s="255" t="s">
        <v>119</v>
      </c>
      <c r="D61" s="255" t="s">
        <v>115</v>
      </c>
      <c r="E61" s="255" t="s">
        <v>116</v>
      </c>
      <c r="F61" s="255" t="s">
        <v>117</v>
      </c>
      <c r="G61" s="255">
        <v>5.12</v>
      </c>
      <c r="H61" s="256">
        <f t="shared" si="0"/>
        <v>135912.95999999999</v>
      </c>
      <c r="I61" s="256" t="s">
        <v>346</v>
      </c>
      <c r="J61" s="256" t="s">
        <v>347</v>
      </c>
      <c r="K61" s="256"/>
      <c r="L61" s="256">
        <f t="shared" si="1"/>
        <v>30202.879999999997</v>
      </c>
      <c r="M61" s="256">
        <f t="shared" si="2"/>
        <v>151014.39999999999</v>
      </c>
      <c r="N61" s="256">
        <f t="shared" si="3"/>
        <v>0</v>
      </c>
      <c r="O61" s="256" t="s">
        <v>348</v>
      </c>
      <c r="P61" s="256"/>
      <c r="Q61" s="256">
        <f>17697*60%</f>
        <v>10618.199999999999</v>
      </c>
      <c r="R61" s="256"/>
      <c r="S61" s="257">
        <v>4</v>
      </c>
      <c r="T61" s="257"/>
      <c r="U61" s="257"/>
      <c r="V61" s="257"/>
      <c r="W61" s="257">
        <v>20</v>
      </c>
      <c r="X61" s="257"/>
      <c r="Y61" s="257"/>
      <c r="Z61" s="257"/>
      <c r="AA61" s="257"/>
      <c r="AB61" s="257"/>
      <c r="AC61" s="257">
        <f t="shared" si="4"/>
        <v>983.16666666666663</v>
      </c>
      <c r="AD61" s="257">
        <f t="shared" si="5"/>
        <v>0</v>
      </c>
      <c r="AE61" s="257">
        <f t="shared" si="6"/>
        <v>0</v>
      </c>
      <c r="AF61" s="257">
        <f t="shared" si="7"/>
        <v>0</v>
      </c>
      <c r="AG61" s="257">
        <f t="shared" si="8"/>
        <v>4915.833333333333</v>
      </c>
      <c r="AH61" s="257">
        <f t="shared" si="9"/>
        <v>0</v>
      </c>
      <c r="AI61" s="257">
        <f t="shared" si="10"/>
        <v>0</v>
      </c>
      <c r="AJ61" s="257">
        <f t="shared" si="11"/>
        <v>0</v>
      </c>
      <c r="AK61" s="257">
        <f t="shared" si="12"/>
        <v>0</v>
      </c>
      <c r="AL61" s="256">
        <f t="shared" si="13"/>
        <v>0</v>
      </c>
      <c r="AM61" s="256"/>
      <c r="AN61" s="256"/>
      <c r="AO61" s="256">
        <v>10</v>
      </c>
      <c r="AP61" s="256">
        <f t="shared" si="14"/>
        <v>1966.3333333333333</v>
      </c>
      <c r="AQ61" s="256"/>
      <c r="AR61" s="256"/>
      <c r="AS61" s="256"/>
      <c r="AT61" s="256"/>
      <c r="AU61" s="256"/>
      <c r="AV61" s="256"/>
      <c r="AW61" s="256"/>
      <c r="AX61" s="256"/>
      <c r="AY61" s="256"/>
      <c r="AZ61" s="261">
        <v>24</v>
      </c>
      <c r="BA61" s="256">
        <v>0.35</v>
      </c>
      <c r="BB61" s="256">
        <f t="shared" si="22"/>
        <v>63426.047999999988</v>
      </c>
      <c r="BC61" s="256"/>
      <c r="BD61" s="256"/>
      <c r="BE61" s="256"/>
      <c r="BF61" s="256">
        <v>24</v>
      </c>
      <c r="BG61" s="256">
        <f t="shared" si="16"/>
        <v>54365.183999999987</v>
      </c>
      <c r="BH61" s="256"/>
      <c r="BI61" s="256"/>
      <c r="BJ61" s="256"/>
      <c r="BK61" s="256">
        <f t="shared" si="21"/>
        <v>0</v>
      </c>
      <c r="BL61" s="256">
        <f t="shared" si="17"/>
        <v>18121.727999999999</v>
      </c>
      <c r="BM61" s="256">
        <f t="shared" si="18"/>
        <v>335613.77333333337</v>
      </c>
      <c r="BN61" s="182"/>
      <c r="BO61" s="182"/>
    </row>
    <row r="62" spans="1:67" s="186" customFormat="1" ht="72.75" customHeight="1">
      <c r="A62" s="255" t="s">
        <v>118</v>
      </c>
      <c r="B62" s="255" t="s">
        <v>103</v>
      </c>
      <c r="C62" s="255" t="s">
        <v>119</v>
      </c>
      <c r="D62" s="255" t="s">
        <v>238</v>
      </c>
      <c r="E62" s="255" t="s">
        <v>116</v>
      </c>
      <c r="F62" s="255" t="s">
        <v>117</v>
      </c>
      <c r="G62" s="255">
        <v>5.12</v>
      </c>
      <c r="H62" s="256">
        <f t="shared" si="0"/>
        <v>135912.95999999999</v>
      </c>
      <c r="I62" s="256"/>
      <c r="J62" s="256" t="s">
        <v>349</v>
      </c>
      <c r="K62" s="256"/>
      <c r="L62" s="256">
        <f t="shared" si="1"/>
        <v>0</v>
      </c>
      <c r="M62" s="256">
        <f t="shared" si="2"/>
        <v>22652.159999999996</v>
      </c>
      <c r="N62" s="256">
        <f t="shared" si="3"/>
        <v>0</v>
      </c>
      <c r="O62" s="256"/>
      <c r="P62" s="256"/>
      <c r="Q62" s="256"/>
      <c r="R62" s="256"/>
      <c r="S62" s="257"/>
      <c r="T62" s="257"/>
      <c r="U62" s="257"/>
      <c r="V62" s="257"/>
      <c r="W62" s="257"/>
      <c r="X62" s="257"/>
      <c r="Y62" s="257"/>
      <c r="Z62" s="257"/>
      <c r="AA62" s="257"/>
      <c r="AB62" s="257"/>
      <c r="AC62" s="257">
        <f t="shared" si="4"/>
        <v>0</v>
      </c>
      <c r="AD62" s="257">
        <f t="shared" si="5"/>
        <v>0</v>
      </c>
      <c r="AE62" s="257">
        <f t="shared" si="6"/>
        <v>0</v>
      </c>
      <c r="AF62" s="257">
        <f t="shared" si="7"/>
        <v>0</v>
      </c>
      <c r="AG62" s="257">
        <f t="shared" si="8"/>
        <v>0</v>
      </c>
      <c r="AH62" s="257">
        <f t="shared" si="9"/>
        <v>0</v>
      </c>
      <c r="AI62" s="257">
        <f t="shared" si="10"/>
        <v>0</v>
      </c>
      <c r="AJ62" s="257">
        <f t="shared" si="11"/>
        <v>0</v>
      </c>
      <c r="AK62" s="257">
        <f t="shared" si="12"/>
        <v>0</v>
      </c>
      <c r="AL62" s="256">
        <f t="shared" si="13"/>
        <v>0</v>
      </c>
      <c r="AM62" s="256"/>
      <c r="AN62" s="256"/>
      <c r="AO62" s="256">
        <v>2</v>
      </c>
      <c r="AP62" s="256">
        <f t="shared" si="14"/>
        <v>393.26666666666665</v>
      </c>
      <c r="AQ62" s="256"/>
      <c r="AR62" s="256"/>
      <c r="AS62" s="256"/>
      <c r="AT62" s="256"/>
      <c r="AU62" s="256"/>
      <c r="AV62" s="256"/>
      <c r="AW62" s="256"/>
      <c r="AX62" s="256"/>
      <c r="AY62" s="256"/>
      <c r="AZ62" s="261"/>
      <c r="BA62" s="256"/>
      <c r="BB62" s="256"/>
      <c r="BC62" s="256"/>
      <c r="BD62" s="256"/>
      <c r="BE62" s="256"/>
      <c r="BF62" s="256">
        <v>3</v>
      </c>
      <c r="BG62" s="256">
        <f t="shared" si="16"/>
        <v>6795.6479999999983</v>
      </c>
      <c r="BH62" s="256"/>
      <c r="BI62" s="256"/>
      <c r="BJ62" s="256"/>
      <c r="BK62" s="256">
        <f t="shared" si="21"/>
        <v>0</v>
      </c>
      <c r="BL62" s="256">
        <f t="shared" si="17"/>
        <v>2265.2159999999999</v>
      </c>
      <c r="BM62" s="256">
        <f t="shared" si="18"/>
        <v>32106.29066666666</v>
      </c>
      <c r="BN62" s="182"/>
      <c r="BO62" s="182"/>
    </row>
    <row r="63" spans="1:67" s="186" customFormat="1" ht="72.75" customHeight="1">
      <c r="A63" s="255" t="s">
        <v>350</v>
      </c>
      <c r="B63" s="255" t="s">
        <v>103</v>
      </c>
      <c r="C63" s="255" t="s">
        <v>351</v>
      </c>
      <c r="D63" s="255" t="s">
        <v>140</v>
      </c>
      <c r="E63" s="255" t="s">
        <v>116</v>
      </c>
      <c r="F63" s="255" t="s">
        <v>117</v>
      </c>
      <c r="G63" s="255">
        <v>5.12</v>
      </c>
      <c r="H63" s="256">
        <f t="shared" si="0"/>
        <v>135912.95999999999</v>
      </c>
      <c r="I63" s="256">
        <v>18</v>
      </c>
      <c r="J63" s="256"/>
      <c r="K63" s="256"/>
      <c r="L63" s="256">
        <f t="shared" si="1"/>
        <v>135912.95999999999</v>
      </c>
      <c r="M63" s="256">
        <f t="shared" si="2"/>
        <v>0</v>
      </c>
      <c r="N63" s="256">
        <f t="shared" si="3"/>
        <v>0</v>
      </c>
      <c r="O63" s="256" t="s">
        <v>352</v>
      </c>
      <c r="P63" s="259">
        <f>17697*50%</f>
        <v>8848.5</v>
      </c>
      <c r="Q63" s="256"/>
      <c r="R63" s="256"/>
      <c r="S63" s="257"/>
      <c r="T63" s="257">
        <v>13</v>
      </c>
      <c r="U63" s="257"/>
      <c r="V63" s="257"/>
      <c r="W63" s="257"/>
      <c r="X63" s="257"/>
      <c r="Y63" s="257"/>
      <c r="Z63" s="257"/>
      <c r="AA63" s="257"/>
      <c r="AB63" s="257"/>
      <c r="AC63" s="257">
        <f t="shared" si="4"/>
        <v>0</v>
      </c>
      <c r="AD63" s="257">
        <f t="shared" si="5"/>
        <v>5112.4666666666662</v>
      </c>
      <c r="AE63" s="257">
        <f t="shared" si="6"/>
        <v>0</v>
      </c>
      <c r="AF63" s="257">
        <f t="shared" si="7"/>
        <v>0</v>
      </c>
      <c r="AG63" s="257">
        <f t="shared" si="8"/>
        <v>0</v>
      </c>
      <c r="AH63" s="257">
        <f t="shared" si="9"/>
        <v>0</v>
      </c>
      <c r="AI63" s="257">
        <f t="shared" si="10"/>
        <v>0</v>
      </c>
      <c r="AJ63" s="257">
        <f t="shared" si="11"/>
        <v>0</v>
      </c>
      <c r="AK63" s="257">
        <f t="shared" si="12"/>
        <v>0</v>
      </c>
      <c r="AL63" s="256">
        <f t="shared" si="13"/>
        <v>0</v>
      </c>
      <c r="AM63" s="256"/>
      <c r="AN63" s="256"/>
      <c r="AO63" s="256"/>
      <c r="AP63" s="256">
        <f t="shared" si="14"/>
        <v>0</v>
      </c>
      <c r="AQ63" s="256"/>
      <c r="AR63" s="256"/>
      <c r="AS63" s="256"/>
      <c r="AT63" s="256"/>
      <c r="AU63" s="256"/>
      <c r="AV63" s="256"/>
      <c r="AW63" s="256"/>
      <c r="AX63" s="256"/>
      <c r="AY63" s="256"/>
      <c r="AZ63" s="261">
        <v>18</v>
      </c>
      <c r="BA63" s="256">
        <v>0.35</v>
      </c>
      <c r="BB63" s="256">
        <f t="shared" si="22"/>
        <v>47569.535999999993</v>
      </c>
      <c r="BC63" s="256"/>
      <c r="BD63" s="256"/>
      <c r="BE63" s="256"/>
      <c r="BF63" s="256">
        <v>18</v>
      </c>
      <c r="BG63" s="256">
        <f t="shared" si="16"/>
        <v>40773.887999999999</v>
      </c>
      <c r="BH63" s="256"/>
      <c r="BI63" s="256"/>
      <c r="BJ63" s="256"/>
      <c r="BK63" s="256">
        <f t="shared" si="21"/>
        <v>0</v>
      </c>
      <c r="BL63" s="256">
        <f t="shared" si="17"/>
        <v>13591.296</v>
      </c>
      <c r="BM63" s="256">
        <f t="shared" si="18"/>
        <v>251808.64666666667</v>
      </c>
      <c r="BN63" s="182"/>
      <c r="BO63" s="182"/>
    </row>
    <row r="64" spans="1:67" s="186" customFormat="1" ht="72.75" customHeight="1">
      <c r="A64" s="255" t="s">
        <v>353</v>
      </c>
      <c r="B64" s="255" t="s">
        <v>103</v>
      </c>
      <c r="C64" s="255" t="s">
        <v>354</v>
      </c>
      <c r="D64" s="255" t="s">
        <v>115</v>
      </c>
      <c r="E64" s="255" t="s">
        <v>116</v>
      </c>
      <c r="F64" s="255" t="s">
        <v>117</v>
      </c>
      <c r="G64" s="255">
        <v>5.12</v>
      </c>
      <c r="H64" s="256">
        <f t="shared" si="0"/>
        <v>135912.95999999999</v>
      </c>
      <c r="I64" s="256">
        <v>6</v>
      </c>
      <c r="J64" s="256">
        <v>12</v>
      </c>
      <c r="K64" s="256">
        <v>3</v>
      </c>
      <c r="L64" s="256">
        <f t="shared" si="1"/>
        <v>45304.319999999992</v>
      </c>
      <c r="M64" s="256">
        <f t="shared" si="2"/>
        <v>90608.639999999985</v>
      </c>
      <c r="N64" s="256">
        <f t="shared" si="3"/>
        <v>22652.159999999996</v>
      </c>
      <c r="O64" s="256" t="s">
        <v>355</v>
      </c>
      <c r="P64" s="256"/>
      <c r="Q64" s="256"/>
      <c r="R64" s="256">
        <f>17697*60%</f>
        <v>10618.199999999999</v>
      </c>
      <c r="S64" s="257">
        <v>10</v>
      </c>
      <c r="T64" s="257"/>
      <c r="U64" s="257"/>
      <c r="V64" s="257"/>
      <c r="W64" s="257">
        <v>10</v>
      </c>
      <c r="X64" s="257"/>
      <c r="Y64" s="257"/>
      <c r="Z64" s="257"/>
      <c r="AA64" s="257"/>
      <c r="AB64" s="257">
        <v>3</v>
      </c>
      <c r="AC64" s="257">
        <f t="shared" si="4"/>
        <v>2457.9166666666665</v>
      </c>
      <c r="AD64" s="257">
        <f t="shared" si="5"/>
        <v>0</v>
      </c>
      <c r="AE64" s="257">
        <f t="shared" si="6"/>
        <v>0</v>
      </c>
      <c r="AF64" s="257">
        <f t="shared" si="7"/>
        <v>0</v>
      </c>
      <c r="AG64" s="257">
        <f t="shared" si="8"/>
        <v>2457.9166666666665</v>
      </c>
      <c r="AH64" s="257">
        <f t="shared" si="9"/>
        <v>0</v>
      </c>
      <c r="AI64" s="257">
        <f t="shared" si="10"/>
        <v>0</v>
      </c>
      <c r="AJ64" s="257">
        <f t="shared" si="11"/>
        <v>0</v>
      </c>
      <c r="AK64" s="257">
        <f t="shared" si="12"/>
        <v>0</v>
      </c>
      <c r="AL64" s="256">
        <f t="shared" si="13"/>
        <v>1474.75</v>
      </c>
      <c r="AM64" s="256"/>
      <c r="AN64" s="256"/>
      <c r="AO64" s="256">
        <v>6</v>
      </c>
      <c r="AP64" s="256">
        <f t="shared" si="14"/>
        <v>1179.8</v>
      </c>
      <c r="AQ64" s="256"/>
      <c r="AR64" s="256"/>
      <c r="AS64" s="256"/>
      <c r="AT64" s="256"/>
      <c r="AU64" s="256"/>
      <c r="AV64" s="256"/>
      <c r="AW64" s="256"/>
      <c r="AX64" s="256"/>
      <c r="AY64" s="256"/>
      <c r="AZ64" s="261">
        <v>21</v>
      </c>
      <c r="BA64" s="256">
        <v>0.35</v>
      </c>
      <c r="BB64" s="256">
        <f t="shared" si="22"/>
        <v>55497.791999999987</v>
      </c>
      <c r="BC64" s="256"/>
      <c r="BD64" s="256"/>
      <c r="BE64" s="256"/>
      <c r="BF64" s="256">
        <v>21</v>
      </c>
      <c r="BG64" s="256">
        <f t="shared" si="16"/>
        <v>47569.536</v>
      </c>
      <c r="BH64" s="256"/>
      <c r="BI64" s="256"/>
      <c r="BJ64" s="256">
        <v>3</v>
      </c>
      <c r="BK64" s="256">
        <f t="shared" si="21"/>
        <v>1179.8</v>
      </c>
      <c r="BL64" s="256">
        <f t="shared" si="17"/>
        <v>15856.511999999997</v>
      </c>
      <c r="BM64" s="256">
        <f t="shared" si="18"/>
        <v>296857.34333333327</v>
      </c>
      <c r="BN64" s="182"/>
      <c r="BO64" s="182"/>
    </row>
    <row r="65" spans="1:67" s="186" customFormat="1" ht="72.75" customHeight="1">
      <c r="A65" s="255" t="s">
        <v>356</v>
      </c>
      <c r="B65" s="255" t="s">
        <v>103</v>
      </c>
      <c r="C65" s="255" t="s">
        <v>357</v>
      </c>
      <c r="D65" s="255" t="s">
        <v>105</v>
      </c>
      <c r="E65" s="255" t="s">
        <v>116</v>
      </c>
      <c r="F65" s="255" t="s">
        <v>117</v>
      </c>
      <c r="G65" s="267">
        <v>5.03</v>
      </c>
      <c r="H65" s="256">
        <f t="shared" si="0"/>
        <v>133523.86499999999</v>
      </c>
      <c r="I65" s="256">
        <v>19</v>
      </c>
      <c r="J65" s="256">
        <v>2</v>
      </c>
      <c r="K65" s="256"/>
      <c r="L65" s="256">
        <f t="shared" si="1"/>
        <v>140941.85749999998</v>
      </c>
      <c r="M65" s="256">
        <f t="shared" si="2"/>
        <v>14835.984999999999</v>
      </c>
      <c r="N65" s="256">
        <f t="shared" si="3"/>
        <v>0</v>
      </c>
      <c r="O65" s="256" t="s">
        <v>358</v>
      </c>
      <c r="P65" s="256"/>
      <c r="Q65" s="256">
        <f>17697*60%</f>
        <v>10618.199999999999</v>
      </c>
      <c r="R65" s="256"/>
      <c r="S65" s="257"/>
      <c r="T65" s="257"/>
      <c r="U65" s="257"/>
      <c r="V65" s="257"/>
      <c r="W65" s="257"/>
      <c r="X65" s="257"/>
      <c r="Y65" s="257"/>
      <c r="Z65" s="257"/>
      <c r="AA65" s="257"/>
      <c r="AB65" s="257"/>
      <c r="AC65" s="257">
        <f t="shared" si="4"/>
        <v>0</v>
      </c>
      <c r="AD65" s="257">
        <f t="shared" si="5"/>
        <v>0</v>
      </c>
      <c r="AE65" s="257">
        <f t="shared" si="6"/>
        <v>0</v>
      </c>
      <c r="AF65" s="257">
        <f t="shared" si="7"/>
        <v>0</v>
      </c>
      <c r="AG65" s="257">
        <f t="shared" si="8"/>
        <v>0</v>
      </c>
      <c r="AH65" s="257">
        <f t="shared" si="9"/>
        <v>0</v>
      </c>
      <c r="AI65" s="257">
        <f t="shared" si="10"/>
        <v>0</v>
      </c>
      <c r="AJ65" s="257">
        <f t="shared" si="11"/>
        <v>0</v>
      </c>
      <c r="AK65" s="257">
        <f t="shared" si="12"/>
        <v>0</v>
      </c>
      <c r="AL65" s="256">
        <f t="shared" si="13"/>
        <v>0</v>
      </c>
      <c r="AM65" s="256" t="s">
        <v>359</v>
      </c>
      <c r="AN65" s="256">
        <f>17697*20%</f>
        <v>3539.4</v>
      </c>
      <c r="AO65" s="256">
        <v>14</v>
      </c>
      <c r="AP65" s="256">
        <f t="shared" si="14"/>
        <v>2752.8666666666668</v>
      </c>
      <c r="AQ65" s="256"/>
      <c r="AR65" s="256"/>
      <c r="AS65" s="256"/>
      <c r="AT65" s="256"/>
      <c r="AU65" s="256"/>
      <c r="AV65" s="256"/>
      <c r="AW65" s="256"/>
      <c r="AX65" s="256"/>
      <c r="AY65" s="256"/>
      <c r="AZ65" s="256"/>
      <c r="BA65" s="256"/>
      <c r="BB65" s="256"/>
      <c r="BC65" s="256"/>
      <c r="BD65" s="256"/>
      <c r="BE65" s="256"/>
      <c r="BF65" s="256">
        <v>21</v>
      </c>
      <c r="BG65" s="256">
        <f t="shared" si="16"/>
        <v>46733.352749999998</v>
      </c>
      <c r="BH65" s="256"/>
      <c r="BI65" s="256"/>
      <c r="BJ65" s="256">
        <v>1</v>
      </c>
      <c r="BK65" s="256">
        <f t="shared" si="21"/>
        <v>393.26666666666665</v>
      </c>
      <c r="BL65" s="256">
        <f t="shared" si="17"/>
        <v>15577.784249999997</v>
      </c>
      <c r="BM65" s="256">
        <f t="shared" si="18"/>
        <v>235392.71283333329</v>
      </c>
      <c r="BN65" s="182"/>
      <c r="BO65" s="182"/>
    </row>
    <row r="66" spans="1:67" s="186" customFormat="1" ht="72.75" customHeight="1">
      <c r="A66" s="255" t="s">
        <v>356</v>
      </c>
      <c r="B66" s="255" t="s">
        <v>103</v>
      </c>
      <c r="C66" s="255" t="s">
        <v>357</v>
      </c>
      <c r="D66" s="255" t="s">
        <v>249</v>
      </c>
      <c r="E66" s="255" t="s">
        <v>133</v>
      </c>
      <c r="F66" s="255" t="s">
        <v>134</v>
      </c>
      <c r="G66" s="267">
        <v>4.59</v>
      </c>
      <c r="H66" s="256">
        <f t="shared" si="0"/>
        <v>121843.845</v>
      </c>
      <c r="I66" s="256"/>
      <c r="J66" s="260">
        <v>6</v>
      </c>
      <c r="K66" s="256"/>
      <c r="L66" s="256">
        <f t="shared" si="1"/>
        <v>0</v>
      </c>
      <c r="M66" s="256">
        <f t="shared" si="2"/>
        <v>40614.614999999998</v>
      </c>
      <c r="N66" s="256">
        <f t="shared" si="3"/>
        <v>0</v>
      </c>
      <c r="O66" s="256"/>
      <c r="P66" s="256"/>
      <c r="Q66" s="256"/>
      <c r="R66" s="256"/>
      <c r="S66" s="257"/>
      <c r="T66" s="257"/>
      <c r="U66" s="257"/>
      <c r="V66" s="257"/>
      <c r="W66" s="257"/>
      <c r="X66" s="257"/>
      <c r="Y66" s="257"/>
      <c r="Z66" s="257"/>
      <c r="AA66" s="257"/>
      <c r="AB66" s="257"/>
      <c r="AC66" s="257">
        <f t="shared" si="4"/>
        <v>0</v>
      </c>
      <c r="AD66" s="257">
        <f t="shared" si="5"/>
        <v>0</v>
      </c>
      <c r="AE66" s="257">
        <f t="shared" si="6"/>
        <v>0</v>
      </c>
      <c r="AF66" s="257">
        <f t="shared" si="7"/>
        <v>0</v>
      </c>
      <c r="AG66" s="257">
        <f t="shared" si="8"/>
        <v>0</v>
      </c>
      <c r="AH66" s="257">
        <f t="shared" si="9"/>
        <v>0</v>
      </c>
      <c r="AI66" s="257">
        <f t="shared" si="10"/>
        <v>0</v>
      </c>
      <c r="AJ66" s="257">
        <f t="shared" si="11"/>
        <v>0</v>
      </c>
      <c r="AK66" s="257">
        <f t="shared" si="12"/>
        <v>0</v>
      </c>
      <c r="AL66" s="256">
        <f t="shared" si="13"/>
        <v>0</v>
      </c>
      <c r="AM66" s="256"/>
      <c r="AN66" s="256"/>
      <c r="AO66" s="256"/>
      <c r="AP66" s="256">
        <f t="shared" si="14"/>
        <v>0</v>
      </c>
      <c r="AQ66" s="256"/>
      <c r="AR66" s="256"/>
      <c r="AS66" s="256"/>
      <c r="AT66" s="256"/>
      <c r="AU66" s="256"/>
      <c r="AV66" s="256"/>
      <c r="AW66" s="256"/>
      <c r="AX66" s="256"/>
      <c r="AY66" s="256"/>
      <c r="AZ66" s="256"/>
      <c r="BA66" s="256"/>
      <c r="BB66" s="256"/>
      <c r="BC66" s="256"/>
      <c r="BD66" s="256"/>
      <c r="BE66" s="256"/>
      <c r="BF66" s="256">
        <v>6</v>
      </c>
      <c r="BG66" s="256">
        <f t="shared" si="16"/>
        <v>12184.384499999998</v>
      </c>
      <c r="BH66" s="256"/>
      <c r="BI66" s="256"/>
      <c r="BJ66" s="256"/>
      <c r="BK66" s="256">
        <f t="shared" si="21"/>
        <v>0</v>
      </c>
      <c r="BL66" s="256">
        <f t="shared" si="17"/>
        <v>4061.4614999999999</v>
      </c>
      <c r="BM66" s="256">
        <f t="shared" si="18"/>
        <v>56860.460999999996</v>
      </c>
      <c r="BN66" s="182"/>
      <c r="BO66" s="182"/>
    </row>
    <row r="67" spans="1:67" s="186" customFormat="1" ht="72.75" customHeight="1">
      <c r="A67" s="255" t="s">
        <v>360</v>
      </c>
      <c r="B67" s="255" t="s">
        <v>103</v>
      </c>
      <c r="C67" s="255" t="s">
        <v>361</v>
      </c>
      <c r="D67" s="255" t="s">
        <v>129</v>
      </c>
      <c r="E67" s="255" t="s">
        <v>116</v>
      </c>
      <c r="F67" s="255" t="s">
        <v>117</v>
      </c>
      <c r="G67" s="267">
        <v>5.03</v>
      </c>
      <c r="H67" s="256">
        <f t="shared" si="0"/>
        <v>133523.86499999999</v>
      </c>
      <c r="I67" s="256">
        <v>6</v>
      </c>
      <c r="J67" s="256">
        <v>3</v>
      </c>
      <c r="K67" s="256"/>
      <c r="L67" s="256">
        <f t="shared" si="1"/>
        <v>44507.954999999994</v>
      </c>
      <c r="M67" s="256">
        <f t="shared" si="2"/>
        <v>22253.977499999997</v>
      </c>
      <c r="N67" s="256">
        <f t="shared" si="3"/>
        <v>0</v>
      </c>
      <c r="O67" s="256"/>
      <c r="P67" s="256"/>
      <c r="Q67" s="256"/>
      <c r="R67" s="256"/>
      <c r="S67" s="257"/>
      <c r="T67" s="257"/>
      <c r="U67" s="257">
        <v>3</v>
      </c>
      <c r="V67" s="257"/>
      <c r="W67" s="257"/>
      <c r="X67" s="257"/>
      <c r="Y67" s="257"/>
      <c r="Z67" s="257"/>
      <c r="AA67" s="257"/>
      <c r="AB67" s="257"/>
      <c r="AC67" s="257">
        <f t="shared" si="4"/>
        <v>0</v>
      </c>
      <c r="AD67" s="257">
        <f t="shared" si="5"/>
        <v>0</v>
      </c>
      <c r="AE67" s="257">
        <f t="shared" si="6"/>
        <v>589.9</v>
      </c>
      <c r="AF67" s="257">
        <f t="shared" si="7"/>
        <v>0</v>
      </c>
      <c r="AG67" s="257">
        <f t="shared" si="8"/>
        <v>0</v>
      </c>
      <c r="AH67" s="257">
        <f t="shared" si="9"/>
        <v>0</v>
      </c>
      <c r="AI67" s="257">
        <f t="shared" si="10"/>
        <v>0</v>
      </c>
      <c r="AJ67" s="257">
        <f t="shared" si="11"/>
        <v>0</v>
      </c>
      <c r="AK67" s="257">
        <f t="shared" si="12"/>
        <v>0</v>
      </c>
      <c r="AL67" s="256">
        <f t="shared" si="13"/>
        <v>0</v>
      </c>
      <c r="AM67" s="256"/>
      <c r="AN67" s="256"/>
      <c r="AO67" s="256">
        <v>4</v>
      </c>
      <c r="AP67" s="256">
        <f t="shared" si="14"/>
        <v>786.5333333333333</v>
      </c>
      <c r="AQ67" s="256"/>
      <c r="AR67" s="256"/>
      <c r="AS67" s="256"/>
      <c r="AT67" s="256"/>
      <c r="AU67" s="256"/>
      <c r="AV67" s="256"/>
      <c r="AW67" s="256"/>
      <c r="AX67" s="256"/>
      <c r="AY67" s="256"/>
      <c r="AZ67" s="256"/>
      <c r="BA67" s="256"/>
      <c r="BB67" s="256"/>
      <c r="BC67" s="256"/>
      <c r="BD67" s="256"/>
      <c r="BE67" s="256"/>
      <c r="BF67" s="256">
        <v>9</v>
      </c>
      <c r="BG67" s="256">
        <f t="shared" si="16"/>
        <v>20028.579749999997</v>
      </c>
      <c r="BH67" s="256"/>
      <c r="BI67" s="256"/>
      <c r="BJ67" s="256"/>
      <c r="BK67" s="256">
        <f t="shared" si="21"/>
        <v>0</v>
      </c>
      <c r="BL67" s="256">
        <f t="shared" si="17"/>
        <v>6676.1932500000003</v>
      </c>
      <c r="BM67" s="256">
        <f t="shared" si="18"/>
        <v>94843.138833333316</v>
      </c>
      <c r="BN67" s="182"/>
      <c r="BO67" s="182"/>
    </row>
    <row r="68" spans="1:67" s="186" customFormat="1" ht="72.75" customHeight="1">
      <c r="A68" s="255" t="s">
        <v>362</v>
      </c>
      <c r="B68" s="255" t="s">
        <v>103</v>
      </c>
      <c r="C68" s="255" t="s">
        <v>363</v>
      </c>
      <c r="D68" s="255" t="s">
        <v>249</v>
      </c>
      <c r="E68" s="255" t="s">
        <v>116</v>
      </c>
      <c r="F68" s="255" t="s">
        <v>117</v>
      </c>
      <c r="G68" s="267">
        <v>5.03</v>
      </c>
      <c r="H68" s="256">
        <f t="shared" si="0"/>
        <v>133523.86499999999</v>
      </c>
      <c r="I68" s="256"/>
      <c r="J68" s="256">
        <v>21</v>
      </c>
      <c r="K68" s="256">
        <v>6</v>
      </c>
      <c r="L68" s="256">
        <f t="shared" si="1"/>
        <v>0</v>
      </c>
      <c r="M68" s="256">
        <f t="shared" si="2"/>
        <v>155777.8425</v>
      </c>
      <c r="N68" s="256">
        <f t="shared" si="3"/>
        <v>44507.954999999994</v>
      </c>
      <c r="O68" s="256"/>
      <c r="P68" s="256"/>
      <c r="Q68" s="256"/>
      <c r="R68" s="256"/>
      <c r="S68" s="257"/>
      <c r="T68" s="257"/>
      <c r="U68" s="257"/>
      <c r="V68" s="257"/>
      <c r="W68" s="257"/>
      <c r="X68" s="257"/>
      <c r="Y68" s="257"/>
      <c r="Z68" s="257"/>
      <c r="AA68" s="257"/>
      <c r="AB68" s="257"/>
      <c r="AC68" s="257">
        <f t="shared" si="4"/>
        <v>0</v>
      </c>
      <c r="AD68" s="257">
        <f t="shared" si="5"/>
        <v>0</v>
      </c>
      <c r="AE68" s="257">
        <f t="shared" si="6"/>
        <v>0</v>
      </c>
      <c r="AF68" s="257">
        <f t="shared" si="7"/>
        <v>0</v>
      </c>
      <c r="AG68" s="257">
        <f t="shared" si="8"/>
        <v>0</v>
      </c>
      <c r="AH68" s="257">
        <f t="shared" si="9"/>
        <v>0</v>
      </c>
      <c r="AI68" s="257">
        <f t="shared" si="10"/>
        <v>0</v>
      </c>
      <c r="AJ68" s="257">
        <f t="shared" si="11"/>
        <v>0</v>
      </c>
      <c r="AK68" s="257">
        <f t="shared" si="12"/>
        <v>0</v>
      </c>
      <c r="AL68" s="256">
        <f t="shared" si="13"/>
        <v>0</v>
      </c>
      <c r="AM68" s="256"/>
      <c r="AN68" s="256"/>
      <c r="AO68" s="256">
        <v>18</v>
      </c>
      <c r="AP68" s="256">
        <f t="shared" si="14"/>
        <v>3539.3999999999996</v>
      </c>
      <c r="AQ68" s="256"/>
      <c r="AR68" s="256"/>
      <c r="AS68" s="256"/>
      <c r="AT68" s="256"/>
      <c r="AU68" s="256"/>
      <c r="AV68" s="256"/>
      <c r="AW68" s="256"/>
      <c r="AX68" s="256"/>
      <c r="AY68" s="256"/>
      <c r="AZ68" s="256"/>
      <c r="BA68" s="256"/>
      <c r="BB68" s="256"/>
      <c r="BC68" s="256"/>
      <c r="BD68" s="256"/>
      <c r="BE68" s="256"/>
      <c r="BF68" s="256">
        <v>27</v>
      </c>
      <c r="BG68" s="256">
        <f t="shared" si="16"/>
        <v>60085.739249999991</v>
      </c>
      <c r="BH68" s="256"/>
      <c r="BI68" s="256"/>
      <c r="BJ68" s="256">
        <v>3</v>
      </c>
      <c r="BK68" s="256">
        <f t="shared" si="21"/>
        <v>1179.8</v>
      </c>
      <c r="BL68" s="256">
        <f t="shared" si="17"/>
        <v>20028.579750000001</v>
      </c>
      <c r="BM68" s="256">
        <f t="shared" si="18"/>
        <v>285119.31649999996</v>
      </c>
      <c r="BN68" s="182"/>
      <c r="BO68" s="182"/>
    </row>
    <row r="69" spans="1:67" s="186" customFormat="1" ht="72.75" customHeight="1">
      <c r="A69" s="255" t="s">
        <v>364</v>
      </c>
      <c r="B69" s="255" t="s">
        <v>103</v>
      </c>
      <c r="C69" s="255" t="s">
        <v>365</v>
      </c>
      <c r="D69" s="255" t="s">
        <v>129</v>
      </c>
      <c r="E69" s="255" t="s">
        <v>116</v>
      </c>
      <c r="F69" s="255" t="s">
        <v>117</v>
      </c>
      <c r="G69" s="255">
        <v>4.95</v>
      </c>
      <c r="H69" s="256">
        <f t="shared" si="0"/>
        <v>131400.22500000001</v>
      </c>
      <c r="I69" s="256">
        <v>8</v>
      </c>
      <c r="J69" s="256">
        <v>12</v>
      </c>
      <c r="K69" s="256"/>
      <c r="L69" s="256">
        <f t="shared" si="1"/>
        <v>58400.100000000006</v>
      </c>
      <c r="M69" s="256">
        <f t="shared" si="2"/>
        <v>87600.150000000009</v>
      </c>
      <c r="N69" s="256">
        <f t="shared" si="3"/>
        <v>0</v>
      </c>
      <c r="O69" s="256"/>
      <c r="P69" s="256"/>
      <c r="Q69" s="256"/>
      <c r="R69" s="256"/>
      <c r="S69" s="257"/>
      <c r="T69" s="257"/>
      <c r="U69" s="257">
        <v>12</v>
      </c>
      <c r="V69" s="257"/>
      <c r="W69" s="257"/>
      <c r="X69" s="257"/>
      <c r="Y69" s="257"/>
      <c r="Z69" s="257"/>
      <c r="AA69" s="257"/>
      <c r="AB69" s="257"/>
      <c r="AC69" s="257">
        <f t="shared" si="4"/>
        <v>0</v>
      </c>
      <c r="AD69" s="257">
        <f t="shared" si="5"/>
        <v>0</v>
      </c>
      <c r="AE69" s="257">
        <f t="shared" si="6"/>
        <v>2359.6</v>
      </c>
      <c r="AF69" s="257">
        <f t="shared" si="7"/>
        <v>0</v>
      </c>
      <c r="AG69" s="257">
        <f t="shared" si="8"/>
        <v>0</v>
      </c>
      <c r="AH69" s="257">
        <f t="shared" si="9"/>
        <v>0</v>
      </c>
      <c r="AI69" s="257">
        <f t="shared" si="10"/>
        <v>0</v>
      </c>
      <c r="AJ69" s="257">
        <f t="shared" si="11"/>
        <v>0</v>
      </c>
      <c r="AK69" s="257">
        <f t="shared" si="12"/>
        <v>0</v>
      </c>
      <c r="AL69" s="256">
        <f t="shared" si="13"/>
        <v>0</v>
      </c>
      <c r="AM69" s="256"/>
      <c r="AN69" s="256"/>
      <c r="AO69" s="256">
        <v>4</v>
      </c>
      <c r="AP69" s="256">
        <f t="shared" si="14"/>
        <v>786.5333333333333</v>
      </c>
      <c r="AQ69" s="256"/>
      <c r="AR69" s="256"/>
      <c r="AS69" s="256"/>
      <c r="AT69" s="256"/>
      <c r="AU69" s="256"/>
      <c r="AV69" s="256"/>
      <c r="AW69" s="256"/>
      <c r="AX69" s="256"/>
      <c r="AY69" s="256"/>
      <c r="AZ69" s="256"/>
      <c r="BA69" s="256"/>
      <c r="BB69" s="256"/>
      <c r="BC69" s="256"/>
      <c r="BD69" s="256"/>
      <c r="BE69" s="256"/>
      <c r="BF69" s="256">
        <v>20</v>
      </c>
      <c r="BG69" s="256">
        <f t="shared" si="16"/>
        <v>43800.074999999997</v>
      </c>
      <c r="BH69" s="256"/>
      <c r="BI69" s="256"/>
      <c r="BJ69" s="256"/>
      <c r="BK69" s="256">
        <f t="shared" si="21"/>
        <v>0</v>
      </c>
      <c r="BL69" s="256">
        <f t="shared" si="17"/>
        <v>14600.025000000001</v>
      </c>
      <c r="BM69" s="256">
        <f t="shared" si="18"/>
        <v>207546.48333333331</v>
      </c>
      <c r="BN69" s="182"/>
      <c r="BO69" s="182"/>
    </row>
    <row r="70" spans="1:67" s="186" customFormat="1" ht="72.75" customHeight="1">
      <c r="A70" s="255" t="s">
        <v>120</v>
      </c>
      <c r="B70" s="255" t="s">
        <v>103</v>
      </c>
      <c r="C70" s="255" t="s">
        <v>121</v>
      </c>
      <c r="D70" s="255" t="s">
        <v>109</v>
      </c>
      <c r="E70" s="255" t="s">
        <v>116</v>
      </c>
      <c r="F70" s="255" t="s">
        <v>117</v>
      </c>
      <c r="G70" s="255">
        <v>4.95</v>
      </c>
      <c r="H70" s="256">
        <f t="shared" si="0"/>
        <v>131400.22500000001</v>
      </c>
      <c r="I70" s="256"/>
      <c r="J70" s="256">
        <v>21</v>
      </c>
      <c r="K70" s="256"/>
      <c r="L70" s="256">
        <f t="shared" si="1"/>
        <v>0</v>
      </c>
      <c r="M70" s="256">
        <f t="shared" si="2"/>
        <v>153300.26250000001</v>
      </c>
      <c r="N70" s="256">
        <f t="shared" si="3"/>
        <v>0</v>
      </c>
      <c r="O70" s="256"/>
      <c r="P70" s="256"/>
      <c r="Q70" s="256"/>
      <c r="R70" s="256"/>
      <c r="S70" s="257"/>
      <c r="T70" s="257"/>
      <c r="U70" s="257"/>
      <c r="V70" s="257"/>
      <c r="W70" s="257">
        <v>21</v>
      </c>
      <c r="X70" s="257"/>
      <c r="Y70" s="257"/>
      <c r="Z70" s="257"/>
      <c r="AA70" s="257"/>
      <c r="AB70" s="257"/>
      <c r="AC70" s="257">
        <f t="shared" si="4"/>
        <v>0</v>
      </c>
      <c r="AD70" s="257">
        <f t="shared" si="5"/>
        <v>0</v>
      </c>
      <c r="AE70" s="257">
        <f t="shared" si="6"/>
        <v>0</v>
      </c>
      <c r="AF70" s="257">
        <f t="shared" si="7"/>
        <v>0</v>
      </c>
      <c r="AG70" s="257">
        <f t="shared" si="8"/>
        <v>5161.625</v>
      </c>
      <c r="AH70" s="257">
        <f t="shared" si="9"/>
        <v>0</v>
      </c>
      <c r="AI70" s="257">
        <f t="shared" si="10"/>
        <v>0</v>
      </c>
      <c r="AJ70" s="257">
        <f t="shared" si="11"/>
        <v>0</v>
      </c>
      <c r="AK70" s="257">
        <f t="shared" si="12"/>
        <v>0</v>
      </c>
      <c r="AL70" s="256">
        <f t="shared" si="13"/>
        <v>0</v>
      </c>
      <c r="AM70" s="256"/>
      <c r="AN70" s="256"/>
      <c r="AO70" s="256">
        <v>6</v>
      </c>
      <c r="AP70" s="256">
        <f t="shared" si="14"/>
        <v>1179.8</v>
      </c>
      <c r="AQ70" s="256"/>
      <c r="AR70" s="256"/>
      <c r="AS70" s="256"/>
      <c r="AT70" s="256"/>
      <c r="AU70" s="256"/>
      <c r="AV70" s="256"/>
      <c r="AW70" s="256"/>
      <c r="AX70" s="256"/>
      <c r="AY70" s="256"/>
      <c r="AZ70" s="261">
        <v>21</v>
      </c>
      <c r="BA70" s="256">
        <v>0.35</v>
      </c>
      <c r="BB70" s="256">
        <f t="shared" si="22"/>
        <v>53655.091874999998</v>
      </c>
      <c r="BC70" s="256"/>
      <c r="BD70" s="256"/>
      <c r="BE70" s="256"/>
      <c r="BF70" s="256">
        <v>21</v>
      </c>
      <c r="BG70" s="256">
        <f t="shared" si="16"/>
        <v>45990.078750000001</v>
      </c>
      <c r="BH70" s="256"/>
      <c r="BI70" s="256"/>
      <c r="BJ70" s="256"/>
      <c r="BK70" s="256">
        <f t="shared" si="21"/>
        <v>0</v>
      </c>
      <c r="BL70" s="256">
        <f t="shared" si="17"/>
        <v>15330.026250000003</v>
      </c>
      <c r="BM70" s="256">
        <f t="shared" si="18"/>
        <v>274616.88437499997</v>
      </c>
      <c r="BN70" s="182"/>
      <c r="BO70" s="182"/>
    </row>
    <row r="71" spans="1:67" s="186" customFormat="1" ht="72.75" customHeight="1">
      <c r="A71" s="255" t="s">
        <v>366</v>
      </c>
      <c r="B71" s="255" t="s">
        <v>103</v>
      </c>
      <c r="C71" s="255" t="s">
        <v>367</v>
      </c>
      <c r="D71" s="255" t="s">
        <v>140</v>
      </c>
      <c r="E71" s="255" t="s">
        <v>116</v>
      </c>
      <c r="F71" s="255" t="s">
        <v>117</v>
      </c>
      <c r="G71" s="255">
        <v>4.95</v>
      </c>
      <c r="H71" s="256">
        <f t="shared" si="0"/>
        <v>131400.22500000001</v>
      </c>
      <c r="I71" s="256">
        <v>14</v>
      </c>
      <c r="J71" s="256"/>
      <c r="K71" s="256"/>
      <c r="L71" s="256">
        <f t="shared" si="1"/>
        <v>102200.17500000002</v>
      </c>
      <c r="M71" s="256">
        <f t="shared" si="2"/>
        <v>0</v>
      </c>
      <c r="N71" s="256">
        <f t="shared" si="3"/>
        <v>0</v>
      </c>
      <c r="O71" s="256" t="s">
        <v>368</v>
      </c>
      <c r="P71" s="259">
        <f>17697*50%</f>
        <v>8848.5</v>
      </c>
      <c r="Q71" s="256"/>
      <c r="R71" s="256"/>
      <c r="S71" s="257"/>
      <c r="T71" s="257">
        <v>4</v>
      </c>
      <c r="U71" s="257"/>
      <c r="V71" s="257"/>
      <c r="W71" s="257"/>
      <c r="X71" s="257"/>
      <c r="Y71" s="257"/>
      <c r="Z71" s="257"/>
      <c r="AA71" s="257"/>
      <c r="AB71" s="257"/>
      <c r="AC71" s="257">
        <f t="shared" si="4"/>
        <v>0</v>
      </c>
      <c r="AD71" s="257">
        <f t="shared" si="5"/>
        <v>1573.0666666666666</v>
      </c>
      <c r="AE71" s="257">
        <f t="shared" si="6"/>
        <v>0</v>
      </c>
      <c r="AF71" s="257">
        <f t="shared" si="7"/>
        <v>0</v>
      </c>
      <c r="AG71" s="257">
        <f t="shared" si="8"/>
        <v>0</v>
      </c>
      <c r="AH71" s="257">
        <f t="shared" si="9"/>
        <v>0</v>
      </c>
      <c r="AI71" s="257">
        <f t="shared" si="10"/>
        <v>0</v>
      </c>
      <c r="AJ71" s="257">
        <f t="shared" si="11"/>
        <v>0</v>
      </c>
      <c r="AK71" s="257">
        <f t="shared" si="12"/>
        <v>0</v>
      </c>
      <c r="AL71" s="256">
        <f t="shared" si="13"/>
        <v>0</v>
      </c>
      <c r="AM71" s="256"/>
      <c r="AN71" s="256"/>
      <c r="AO71" s="256"/>
      <c r="AP71" s="256">
        <f t="shared" si="14"/>
        <v>0</v>
      </c>
      <c r="AQ71" s="256"/>
      <c r="AR71" s="256"/>
      <c r="AS71" s="256"/>
      <c r="AT71" s="256"/>
      <c r="AU71" s="256"/>
      <c r="AV71" s="256"/>
      <c r="AW71" s="256"/>
      <c r="AX71" s="256"/>
      <c r="AY71" s="256"/>
      <c r="AZ71" s="261">
        <v>14</v>
      </c>
      <c r="BA71" s="256">
        <v>0.35</v>
      </c>
      <c r="BB71" s="256">
        <f t="shared" si="22"/>
        <v>35770.061249999999</v>
      </c>
      <c r="BC71" s="256"/>
      <c r="BD71" s="256"/>
      <c r="BE71" s="256"/>
      <c r="BF71" s="256">
        <v>14</v>
      </c>
      <c r="BG71" s="256">
        <f t="shared" si="16"/>
        <v>30660.052500000005</v>
      </c>
      <c r="BH71" s="256"/>
      <c r="BI71" s="256"/>
      <c r="BJ71" s="256"/>
      <c r="BK71" s="256">
        <f t="shared" si="21"/>
        <v>0</v>
      </c>
      <c r="BL71" s="256">
        <f t="shared" si="17"/>
        <v>10220.017500000002</v>
      </c>
      <c r="BM71" s="256">
        <f t="shared" si="18"/>
        <v>189271.87291666667</v>
      </c>
      <c r="BN71" s="182"/>
      <c r="BO71" s="182"/>
    </row>
    <row r="72" spans="1:67" s="186" customFormat="1" ht="72.75" customHeight="1">
      <c r="A72" s="255" t="s">
        <v>136</v>
      </c>
      <c r="B72" s="255" t="s">
        <v>103</v>
      </c>
      <c r="C72" s="255" t="s">
        <v>137</v>
      </c>
      <c r="D72" s="255" t="s">
        <v>308</v>
      </c>
      <c r="E72" s="255" t="s">
        <v>116</v>
      </c>
      <c r="F72" s="255" t="s">
        <v>117</v>
      </c>
      <c r="G72" s="255">
        <v>4.8600000000000003</v>
      </c>
      <c r="H72" s="256">
        <f t="shared" si="0"/>
        <v>129011.13000000002</v>
      </c>
      <c r="I72" s="256"/>
      <c r="J72" s="256">
        <v>13</v>
      </c>
      <c r="K72" s="256">
        <v>2</v>
      </c>
      <c r="L72" s="256">
        <f t="shared" si="1"/>
        <v>0</v>
      </c>
      <c r="M72" s="256">
        <f t="shared" si="2"/>
        <v>93174.705000000016</v>
      </c>
      <c r="N72" s="256">
        <f t="shared" si="3"/>
        <v>14334.570000000002</v>
      </c>
      <c r="O72" s="256" t="s">
        <v>358</v>
      </c>
      <c r="P72" s="256"/>
      <c r="Q72" s="256">
        <f>17697*60%</f>
        <v>10618.199999999999</v>
      </c>
      <c r="R72" s="256"/>
      <c r="S72" s="257"/>
      <c r="T72" s="257"/>
      <c r="U72" s="257"/>
      <c r="V72" s="257"/>
      <c r="W72" s="257"/>
      <c r="X72" s="257"/>
      <c r="Y72" s="257"/>
      <c r="Z72" s="257"/>
      <c r="AA72" s="257"/>
      <c r="AB72" s="257"/>
      <c r="AC72" s="257">
        <f t="shared" si="4"/>
        <v>0</v>
      </c>
      <c r="AD72" s="257">
        <f t="shared" si="5"/>
        <v>0</v>
      </c>
      <c r="AE72" s="257">
        <f t="shared" si="6"/>
        <v>0</v>
      </c>
      <c r="AF72" s="257">
        <f t="shared" si="7"/>
        <v>0</v>
      </c>
      <c r="AG72" s="257">
        <f t="shared" si="8"/>
        <v>0</v>
      </c>
      <c r="AH72" s="257">
        <f t="shared" si="9"/>
        <v>0</v>
      </c>
      <c r="AI72" s="257">
        <f t="shared" si="10"/>
        <v>0</v>
      </c>
      <c r="AJ72" s="257">
        <f t="shared" si="11"/>
        <v>0</v>
      </c>
      <c r="AK72" s="257">
        <f t="shared" si="12"/>
        <v>0</v>
      </c>
      <c r="AL72" s="256">
        <f t="shared" si="13"/>
        <v>0</v>
      </c>
      <c r="AM72" s="256" t="s">
        <v>369</v>
      </c>
      <c r="AN72" s="256">
        <f>17697*20%</f>
        <v>3539.4</v>
      </c>
      <c r="AO72" s="256" t="s">
        <v>370</v>
      </c>
      <c r="AP72" s="256">
        <f t="shared" si="14"/>
        <v>2162.9666666666667</v>
      </c>
      <c r="AQ72" s="256"/>
      <c r="AR72" s="256"/>
      <c r="AS72" s="256"/>
      <c r="AT72" s="256"/>
      <c r="AU72" s="256"/>
      <c r="AV72" s="256"/>
      <c r="AW72" s="256"/>
      <c r="AX72" s="256"/>
      <c r="AY72" s="256"/>
      <c r="AZ72" s="261">
        <v>15</v>
      </c>
      <c r="BA72" s="256">
        <v>0.35</v>
      </c>
      <c r="BB72" s="256">
        <f t="shared" si="22"/>
        <v>37628.246250000004</v>
      </c>
      <c r="BC72" s="256"/>
      <c r="BD72" s="256"/>
      <c r="BE72" s="256"/>
      <c r="BF72" s="256">
        <v>15</v>
      </c>
      <c r="BG72" s="256">
        <f t="shared" si="16"/>
        <v>32252.782500000001</v>
      </c>
      <c r="BH72" s="256">
        <v>1</v>
      </c>
      <c r="BI72" s="260">
        <f>17697*100%</f>
        <v>17697</v>
      </c>
      <c r="BJ72" s="256"/>
      <c r="BK72" s="256">
        <f t="shared" si="21"/>
        <v>0</v>
      </c>
      <c r="BL72" s="256">
        <f t="shared" si="17"/>
        <v>10750.927500000003</v>
      </c>
      <c r="BM72" s="256">
        <f t="shared" si="18"/>
        <v>222158.79791666666</v>
      </c>
      <c r="BN72" s="182"/>
      <c r="BO72" s="182"/>
    </row>
    <row r="73" spans="1:67" s="186" customFormat="1" ht="72.75" customHeight="1">
      <c r="A73" s="255" t="s">
        <v>136</v>
      </c>
      <c r="B73" s="255" t="s">
        <v>103</v>
      </c>
      <c r="C73" s="255" t="s">
        <v>137</v>
      </c>
      <c r="D73" s="255" t="s">
        <v>105</v>
      </c>
      <c r="E73" s="255" t="s">
        <v>133</v>
      </c>
      <c r="F73" s="255" t="s">
        <v>134</v>
      </c>
      <c r="G73" s="255">
        <v>4.38</v>
      </c>
      <c r="H73" s="256">
        <f t="shared" si="0"/>
        <v>116269.29000000001</v>
      </c>
      <c r="I73" s="256"/>
      <c r="J73" s="260">
        <v>5</v>
      </c>
      <c r="K73" s="256"/>
      <c r="L73" s="256">
        <f t="shared" si="1"/>
        <v>0</v>
      </c>
      <c r="M73" s="256">
        <f t="shared" si="2"/>
        <v>32297.025000000001</v>
      </c>
      <c r="N73" s="256">
        <f t="shared" si="3"/>
        <v>0</v>
      </c>
      <c r="O73" s="256"/>
      <c r="P73" s="256"/>
      <c r="Q73" s="256"/>
      <c r="R73" s="256"/>
      <c r="S73" s="257"/>
      <c r="T73" s="257"/>
      <c r="U73" s="257"/>
      <c r="V73" s="257">
        <v>5</v>
      </c>
      <c r="W73" s="257"/>
      <c r="X73" s="257"/>
      <c r="Y73" s="257"/>
      <c r="Z73" s="257"/>
      <c r="AA73" s="257"/>
      <c r="AB73" s="257"/>
      <c r="AC73" s="257">
        <f t="shared" si="4"/>
        <v>0</v>
      </c>
      <c r="AD73" s="257">
        <f t="shared" si="5"/>
        <v>0</v>
      </c>
      <c r="AE73" s="257">
        <f t="shared" si="6"/>
        <v>0</v>
      </c>
      <c r="AF73" s="257">
        <f t="shared" si="7"/>
        <v>1966.3333333333333</v>
      </c>
      <c r="AG73" s="257">
        <f t="shared" si="8"/>
        <v>0</v>
      </c>
      <c r="AH73" s="257">
        <f t="shared" si="9"/>
        <v>0</v>
      </c>
      <c r="AI73" s="257">
        <f t="shared" si="10"/>
        <v>0</v>
      </c>
      <c r="AJ73" s="257">
        <f t="shared" si="11"/>
        <v>0</v>
      </c>
      <c r="AK73" s="257">
        <f t="shared" si="12"/>
        <v>0</v>
      </c>
      <c r="AL73" s="256">
        <f t="shared" si="13"/>
        <v>0</v>
      </c>
      <c r="AM73" s="256"/>
      <c r="AN73" s="256"/>
      <c r="AO73" s="256"/>
      <c r="AP73" s="256">
        <f t="shared" si="14"/>
        <v>0</v>
      </c>
      <c r="AQ73" s="256"/>
      <c r="AR73" s="256"/>
      <c r="AS73" s="256"/>
      <c r="AT73" s="256"/>
      <c r="AU73" s="256"/>
      <c r="AV73" s="256"/>
      <c r="AW73" s="256"/>
      <c r="AX73" s="256"/>
      <c r="AY73" s="256"/>
      <c r="AZ73" s="256"/>
      <c r="BA73" s="256"/>
      <c r="BB73" s="256"/>
      <c r="BC73" s="256"/>
      <c r="BD73" s="256"/>
      <c r="BE73" s="256"/>
      <c r="BF73" s="256">
        <v>5</v>
      </c>
      <c r="BG73" s="256">
        <f t="shared" si="16"/>
        <v>9689.1075000000001</v>
      </c>
      <c r="BH73" s="256"/>
      <c r="BI73" s="256"/>
      <c r="BJ73" s="256"/>
      <c r="BK73" s="256">
        <f t="shared" si="21"/>
        <v>0</v>
      </c>
      <c r="BL73" s="256">
        <f t="shared" si="17"/>
        <v>3229.7025000000003</v>
      </c>
      <c r="BM73" s="256">
        <f t="shared" si="18"/>
        <v>47182.168333333335</v>
      </c>
      <c r="BN73" s="182"/>
      <c r="BO73" s="182"/>
    </row>
    <row r="74" spans="1:67" s="186" customFormat="1" ht="72.75" customHeight="1">
      <c r="A74" s="255" t="s">
        <v>371</v>
      </c>
      <c r="B74" s="255" t="s">
        <v>103</v>
      </c>
      <c r="C74" s="255" t="s">
        <v>332</v>
      </c>
      <c r="D74" s="255" t="s">
        <v>140</v>
      </c>
      <c r="E74" s="255" t="s">
        <v>116</v>
      </c>
      <c r="F74" s="255" t="s">
        <v>117</v>
      </c>
      <c r="G74" s="255">
        <v>4.8600000000000003</v>
      </c>
      <c r="H74" s="256">
        <f t="shared" si="0"/>
        <v>129011.13000000002</v>
      </c>
      <c r="I74" s="256">
        <v>18</v>
      </c>
      <c r="J74" s="256"/>
      <c r="K74" s="256"/>
      <c r="L74" s="256">
        <f t="shared" si="1"/>
        <v>129011.13000000002</v>
      </c>
      <c r="M74" s="256">
        <f t="shared" si="2"/>
        <v>0</v>
      </c>
      <c r="N74" s="256">
        <f t="shared" si="3"/>
        <v>0</v>
      </c>
      <c r="O74" s="256" t="s">
        <v>368</v>
      </c>
      <c r="P74" s="259">
        <f>17697*50%</f>
        <v>8848.5</v>
      </c>
      <c r="Q74" s="256"/>
      <c r="R74" s="256"/>
      <c r="S74" s="257"/>
      <c r="T74" s="257">
        <v>13</v>
      </c>
      <c r="U74" s="257"/>
      <c r="V74" s="257"/>
      <c r="W74" s="257"/>
      <c r="X74" s="257"/>
      <c r="Y74" s="257"/>
      <c r="Z74" s="257"/>
      <c r="AA74" s="257"/>
      <c r="AB74" s="257"/>
      <c r="AC74" s="257">
        <f t="shared" si="4"/>
        <v>0</v>
      </c>
      <c r="AD74" s="257">
        <f t="shared" si="5"/>
        <v>5112.4666666666662</v>
      </c>
      <c r="AE74" s="257">
        <f t="shared" si="6"/>
        <v>0</v>
      </c>
      <c r="AF74" s="257">
        <f t="shared" si="7"/>
        <v>0</v>
      </c>
      <c r="AG74" s="257">
        <f t="shared" si="8"/>
        <v>0</v>
      </c>
      <c r="AH74" s="257">
        <f t="shared" si="9"/>
        <v>0</v>
      </c>
      <c r="AI74" s="257">
        <f t="shared" si="10"/>
        <v>0</v>
      </c>
      <c r="AJ74" s="257">
        <f t="shared" si="11"/>
        <v>0</v>
      </c>
      <c r="AK74" s="257">
        <f t="shared" si="12"/>
        <v>0</v>
      </c>
      <c r="AL74" s="256">
        <f t="shared" si="13"/>
        <v>0</v>
      </c>
      <c r="AM74" s="256"/>
      <c r="AN74" s="256"/>
      <c r="AO74" s="256"/>
      <c r="AP74" s="256">
        <f t="shared" si="14"/>
        <v>0</v>
      </c>
      <c r="AQ74" s="256"/>
      <c r="AR74" s="256"/>
      <c r="AS74" s="256"/>
      <c r="AT74" s="256"/>
      <c r="AU74" s="256"/>
      <c r="AV74" s="256"/>
      <c r="AW74" s="256"/>
      <c r="AX74" s="256"/>
      <c r="AY74" s="256"/>
      <c r="AZ74" s="261">
        <v>18</v>
      </c>
      <c r="BA74" s="256">
        <v>0.35</v>
      </c>
      <c r="BB74" s="256">
        <f t="shared" si="22"/>
        <v>45153.895499999999</v>
      </c>
      <c r="BC74" s="256"/>
      <c r="BD74" s="256"/>
      <c r="BE74" s="256"/>
      <c r="BF74" s="256">
        <v>18</v>
      </c>
      <c r="BG74" s="256">
        <f t="shared" si="16"/>
        <v>38703.339000000007</v>
      </c>
      <c r="BH74" s="256"/>
      <c r="BI74" s="256"/>
      <c r="BJ74" s="256"/>
      <c r="BK74" s="256">
        <f t="shared" si="21"/>
        <v>0</v>
      </c>
      <c r="BL74" s="256">
        <f t="shared" si="17"/>
        <v>12901.113000000003</v>
      </c>
      <c r="BM74" s="256">
        <f t="shared" si="18"/>
        <v>239730.44416666668</v>
      </c>
      <c r="BN74" s="182"/>
      <c r="BO74" s="182"/>
    </row>
    <row r="75" spans="1:67" s="186" customFormat="1" ht="72.75" customHeight="1">
      <c r="A75" s="255" t="s">
        <v>372</v>
      </c>
      <c r="B75" s="255" t="s">
        <v>103</v>
      </c>
      <c r="C75" s="255" t="s">
        <v>373</v>
      </c>
      <c r="D75" s="255" t="s">
        <v>374</v>
      </c>
      <c r="E75" s="255" t="s">
        <v>116</v>
      </c>
      <c r="F75" s="255" t="s">
        <v>117</v>
      </c>
      <c r="G75" s="255">
        <v>4.79</v>
      </c>
      <c r="H75" s="256">
        <f t="shared" si="0"/>
        <v>127152.94500000001</v>
      </c>
      <c r="I75" s="256"/>
      <c r="J75" s="256">
        <v>18</v>
      </c>
      <c r="K75" s="256"/>
      <c r="L75" s="256">
        <f t="shared" si="1"/>
        <v>0</v>
      </c>
      <c r="M75" s="256">
        <f t="shared" si="2"/>
        <v>127152.94500000001</v>
      </c>
      <c r="N75" s="256">
        <f t="shared" si="3"/>
        <v>0</v>
      </c>
      <c r="O75" s="256"/>
      <c r="P75" s="256"/>
      <c r="Q75" s="256"/>
      <c r="R75" s="256"/>
      <c r="S75" s="257"/>
      <c r="T75" s="257"/>
      <c r="U75" s="257"/>
      <c r="V75" s="257">
        <v>15</v>
      </c>
      <c r="W75" s="257"/>
      <c r="X75" s="257"/>
      <c r="Y75" s="257"/>
      <c r="Z75" s="257"/>
      <c r="AA75" s="257"/>
      <c r="AB75" s="257"/>
      <c r="AC75" s="257">
        <f t="shared" si="4"/>
        <v>0</v>
      </c>
      <c r="AD75" s="257">
        <f t="shared" si="5"/>
        <v>0</v>
      </c>
      <c r="AE75" s="257">
        <f t="shared" si="6"/>
        <v>0</v>
      </c>
      <c r="AF75" s="257">
        <f t="shared" si="7"/>
        <v>5899</v>
      </c>
      <c r="AG75" s="257">
        <f t="shared" si="8"/>
        <v>0</v>
      </c>
      <c r="AH75" s="257">
        <f t="shared" si="9"/>
        <v>0</v>
      </c>
      <c r="AI75" s="257">
        <f t="shared" si="10"/>
        <v>0</v>
      </c>
      <c r="AJ75" s="257">
        <f t="shared" si="11"/>
        <v>0</v>
      </c>
      <c r="AK75" s="257">
        <f t="shared" si="12"/>
        <v>0</v>
      </c>
      <c r="AL75" s="256">
        <f t="shared" si="13"/>
        <v>0</v>
      </c>
      <c r="AM75" s="256"/>
      <c r="AN75" s="256"/>
      <c r="AO75" s="256"/>
      <c r="AP75" s="256">
        <f t="shared" si="14"/>
        <v>0</v>
      </c>
      <c r="AQ75" s="256"/>
      <c r="AR75" s="256"/>
      <c r="AS75" s="256"/>
      <c r="AT75" s="256"/>
      <c r="AU75" s="256"/>
      <c r="AV75" s="256"/>
      <c r="AW75" s="256"/>
      <c r="AX75" s="256"/>
      <c r="AY75" s="256"/>
      <c r="AZ75" s="261">
        <v>18</v>
      </c>
      <c r="BA75" s="256"/>
      <c r="BB75" s="256">
        <f t="shared" si="22"/>
        <v>44503.530750000005</v>
      </c>
      <c r="BC75" s="256"/>
      <c r="BD75" s="256"/>
      <c r="BE75" s="256"/>
      <c r="BF75" s="256">
        <v>18</v>
      </c>
      <c r="BG75" s="256">
        <f>H75/18*BF75*30%</f>
        <v>38145.883500000004</v>
      </c>
      <c r="BH75" s="256"/>
      <c r="BI75" s="256"/>
      <c r="BJ75" s="256"/>
      <c r="BK75" s="256">
        <f t="shared" si="21"/>
        <v>0</v>
      </c>
      <c r="BL75" s="256">
        <f t="shared" si="17"/>
        <v>12715.294500000002</v>
      </c>
      <c r="BM75" s="256">
        <f t="shared" si="18"/>
        <v>228416.65375</v>
      </c>
      <c r="BN75" s="182"/>
      <c r="BO75" s="182"/>
    </row>
    <row r="76" spans="1:67" s="186" customFormat="1" ht="72.75" customHeight="1">
      <c r="A76" s="255" t="s">
        <v>375</v>
      </c>
      <c r="B76" s="255" t="s">
        <v>103</v>
      </c>
      <c r="C76" s="255" t="s">
        <v>376</v>
      </c>
      <c r="D76" s="255" t="s">
        <v>308</v>
      </c>
      <c r="E76" s="255" t="s">
        <v>116</v>
      </c>
      <c r="F76" s="255" t="s">
        <v>117</v>
      </c>
      <c r="G76" s="255">
        <v>4.79</v>
      </c>
      <c r="H76" s="256">
        <f t="shared" si="0"/>
        <v>127152.94500000001</v>
      </c>
      <c r="I76" s="256">
        <v>9</v>
      </c>
      <c r="J76" s="256"/>
      <c r="K76" s="256"/>
      <c r="L76" s="256">
        <f t="shared" si="1"/>
        <v>63576.472500000003</v>
      </c>
      <c r="M76" s="256">
        <f t="shared" si="2"/>
        <v>0</v>
      </c>
      <c r="N76" s="256">
        <f t="shared" si="3"/>
        <v>0</v>
      </c>
      <c r="O76" s="256"/>
      <c r="P76" s="256"/>
      <c r="Q76" s="256"/>
      <c r="R76" s="256"/>
      <c r="S76" s="257"/>
      <c r="T76" s="257"/>
      <c r="U76" s="257"/>
      <c r="V76" s="257"/>
      <c r="W76" s="257"/>
      <c r="X76" s="257"/>
      <c r="Y76" s="257"/>
      <c r="Z76" s="257"/>
      <c r="AA76" s="257"/>
      <c r="AB76" s="257"/>
      <c r="AC76" s="257">
        <f t="shared" si="4"/>
        <v>0</v>
      </c>
      <c r="AD76" s="257">
        <f t="shared" si="5"/>
        <v>0</v>
      </c>
      <c r="AE76" s="257">
        <f t="shared" si="6"/>
        <v>0</v>
      </c>
      <c r="AF76" s="257">
        <f t="shared" si="7"/>
        <v>0</v>
      </c>
      <c r="AG76" s="257">
        <f t="shared" si="8"/>
        <v>0</v>
      </c>
      <c r="AH76" s="257">
        <f t="shared" si="9"/>
        <v>0</v>
      </c>
      <c r="AI76" s="257">
        <f t="shared" si="10"/>
        <v>0</v>
      </c>
      <c r="AJ76" s="257">
        <f t="shared" si="11"/>
        <v>0</v>
      </c>
      <c r="AK76" s="257">
        <f t="shared" si="12"/>
        <v>0</v>
      </c>
      <c r="AL76" s="256">
        <f t="shared" si="13"/>
        <v>0</v>
      </c>
      <c r="AM76" s="256"/>
      <c r="AN76" s="256"/>
      <c r="AO76" s="256">
        <v>4</v>
      </c>
      <c r="AP76" s="256">
        <f t="shared" si="14"/>
        <v>786.5333333333333</v>
      </c>
      <c r="AQ76" s="256"/>
      <c r="AR76" s="256"/>
      <c r="AS76" s="256"/>
      <c r="AT76" s="256"/>
      <c r="AU76" s="256"/>
      <c r="AV76" s="256"/>
      <c r="AW76" s="256"/>
      <c r="AX76" s="256"/>
      <c r="AY76" s="256"/>
      <c r="AZ76" s="261">
        <v>9</v>
      </c>
      <c r="BA76" s="256">
        <v>0.35</v>
      </c>
      <c r="BB76" s="256">
        <f t="shared" si="22"/>
        <v>22251.765375000003</v>
      </c>
      <c r="BC76" s="256"/>
      <c r="BD76" s="256"/>
      <c r="BE76" s="256"/>
      <c r="BF76" s="256">
        <v>9</v>
      </c>
      <c r="BG76" s="256">
        <f t="shared" si="16"/>
        <v>19072.941750000002</v>
      </c>
      <c r="BH76" s="256"/>
      <c r="BI76" s="256"/>
      <c r="BJ76" s="256"/>
      <c r="BK76" s="256">
        <f t="shared" si="21"/>
        <v>0</v>
      </c>
      <c r="BL76" s="256">
        <f t="shared" si="17"/>
        <v>6357.6472500000009</v>
      </c>
      <c r="BM76" s="256">
        <f t="shared" si="18"/>
        <v>112045.36020833334</v>
      </c>
      <c r="BN76" s="182"/>
      <c r="BO76" s="182"/>
    </row>
    <row r="77" spans="1:67" s="186" customFormat="1" ht="72.75" customHeight="1">
      <c r="A77" s="255" t="s">
        <v>377</v>
      </c>
      <c r="B77" s="255" t="s">
        <v>103</v>
      </c>
      <c r="C77" s="255" t="s">
        <v>378</v>
      </c>
      <c r="D77" s="255" t="s">
        <v>140</v>
      </c>
      <c r="E77" s="255" t="s">
        <v>116</v>
      </c>
      <c r="F77" s="255" t="s">
        <v>117</v>
      </c>
      <c r="G77" s="255">
        <v>4.79</v>
      </c>
      <c r="H77" s="256">
        <f t="shared" ref="H77:H131" si="23">17697*G77*1.5</f>
        <v>127152.94500000001</v>
      </c>
      <c r="I77" s="256">
        <v>25</v>
      </c>
      <c r="J77" s="256"/>
      <c r="K77" s="256"/>
      <c r="L77" s="256">
        <f t="shared" ref="L77:L85" si="24">H77/18*I77</f>
        <v>176601.31250000003</v>
      </c>
      <c r="M77" s="256">
        <f t="shared" ref="M77:M85" si="25">H77/18*J77</f>
        <v>0</v>
      </c>
      <c r="N77" s="256">
        <f t="shared" ref="N77:N85" si="26">H77/18*K77</f>
        <v>0</v>
      </c>
      <c r="O77" s="256" t="s">
        <v>379</v>
      </c>
      <c r="P77" s="259">
        <f>17697*50%</f>
        <v>8848.5</v>
      </c>
      <c r="Q77" s="256"/>
      <c r="R77" s="256"/>
      <c r="S77" s="257"/>
      <c r="T77" s="257">
        <v>15</v>
      </c>
      <c r="U77" s="257"/>
      <c r="V77" s="257"/>
      <c r="W77" s="257"/>
      <c r="X77" s="257"/>
      <c r="Y77" s="257"/>
      <c r="Z77" s="257"/>
      <c r="AA77" s="257"/>
      <c r="AB77" s="257"/>
      <c r="AC77" s="257">
        <f t="shared" ref="AC77:AC85" si="27">17697*25%/18*S77</f>
        <v>0</v>
      </c>
      <c r="AD77" s="257">
        <f t="shared" ref="AD77:AD85" si="28">17697*40%/18*T77</f>
        <v>5899</v>
      </c>
      <c r="AE77" s="257">
        <f t="shared" ref="AE77:AE85" si="29">17697*20%/18*U77</f>
        <v>0</v>
      </c>
      <c r="AF77" s="257">
        <f t="shared" ref="AF77:AF85" si="30">17697*40%/18*V77</f>
        <v>0</v>
      </c>
      <c r="AG77" s="257">
        <f t="shared" ref="AG77:AG85" si="31">17697*25%/18*W77</f>
        <v>0</v>
      </c>
      <c r="AH77" s="257">
        <f t="shared" ref="AH77:AH85" si="32">17697*50%/18*X77</f>
        <v>0</v>
      </c>
      <c r="AI77" s="257">
        <f t="shared" ref="AI77:AI85" si="33">17697*20%/18*Y77</f>
        <v>0</v>
      </c>
      <c r="AJ77" s="257">
        <f t="shared" ref="AJ77:AJ85" si="34">17697*40%/18*Z77</f>
        <v>0</v>
      </c>
      <c r="AK77" s="257">
        <f t="shared" ref="AK77:AK85" si="35">17697*25%/18*AA77</f>
        <v>0</v>
      </c>
      <c r="AL77" s="256">
        <f t="shared" ref="AL77:AL85" si="36">17697*50%/18*AB77</f>
        <v>0</v>
      </c>
      <c r="AM77" s="256"/>
      <c r="AN77" s="256"/>
      <c r="AO77" s="256">
        <v>23</v>
      </c>
      <c r="AP77" s="256">
        <f t="shared" ref="AP77:AP85" si="37">17697*20%/18*AO77</f>
        <v>4522.5666666666666</v>
      </c>
      <c r="AQ77" s="256"/>
      <c r="AR77" s="256"/>
      <c r="AS77" s="256"/>
      <c r="AT77" s="256"/>
      <c r="AU77" s="256"/>
      <c r="AV77" s="256"/>
      <c r="AW77" s="256"/>
      <c r="AX77" s="256"/>
      <c r="AY77" s="256"/>
      <c r="AZ77" s="256">
        <v>25</v>
      </c>
      <c r="BA77" s="256">
        <v>0.35</v>
      </c>
      <c r="BB77" s="256">
        <f t="shared" si="22"/>
        <v>61810.459375000006</v>
      </c>
      <c r="BC77" s="256"/>
      <c r="BD77" s="256"/>
      <c r="BE77" s="256"/>
      <c r="BF77" s="256">
        <v>25</v>
      </c>
      <c r="BG77" s="256">
        <f t="shared" ref="BG77:BG100" si="38">H77/18*BF77*30%</f>
        <v>52980.39375000001</v>
      </c>
      <c r="BH77" s="256"/>
      <c r="BI77" s="256"/>
      <c r="BJ77" s="256"/>
      <c r="BK77" s="256">
        <f t="shared" si="21"/>
        <v>0</v>
      </c>
      <c r="BL77" s="256">
        <f t="shared" ref="BL77:BL85" si="39">(L77+M77+N77)*10%</f>
        <v>17660.131250000002</v>
      </c>
      <c r="BM77" s="256">
        <f t="shared" ref="BM77:BM131" si="40">L77+M77+N77+P77+Q77+R77+AC77+AD77+AE77+AF77+AG77+AH77+AI77+AJ77+AK77+AL77+AN77+AP77+AR77+AT77+AV77+AY77+BB77+BE77+BG77+BI77+BK77+BL77</f>
        <v>328322.36354166671</v>
      </c>
      <c r="BN77" s="182"/>
      <c r="BO77" s="182"/>
    </row>
    <row r="78" spans="1:67" s="186" customFormat="1" ht="72.75" customHeight="1">
      <c r="A78" s="255" t="s">
        <v>380</v>
      </c>
      <c r="B78" s="255" t="s">
        <v>103</v>
      </c>
      <c r="C78" s="255" t="s">
        <v>381</v>
      </c>
      <c r="D78" s="255" t="s">
        <v>140</v>
      </c>
      <c r="E78" s="255" t="s">
        <v>116</v>
      </c>
      <c r="F78" s="255" t="s">
        <v>117</v>
      </c>
      <c r="G78" s="255">
        <v>4.72</v>
      </c>
      <c r="H78" s="256">
        <f t="shared" si="23"/>
        <v>125294.76</v>
      </c>
      <c r="I78" s="256">
        <v>20</v>
      </c>
      <c r="J78" s="256"/>
      <c r="K78" s="256"/>
      <c r="L78" s="256">
        <f t="shared" si="24"/>
        <v>139216.4</v>
      </c>
      <c r="M78" s="256">
        <f t="shared" si="25"/>
        <v>0</v>
      </c>
      <c r="N78" s="256">
        <f t="shared" si="26"/>
        <v>0</v>
      </c>
      <c r="O78" s="256" t="s">
        <v>382</v>
      </c>
      <c r="P78" s="259">
        <f>17697*50%</f>
        <v>8848.5</v>
      </c>
      <c r="Q78" s="256"/>
      <c r="R78" s="256"/>
      <c r="S78" s="257"/>
      <c r="T78" s="257">
        <v>14</v>
      </c>
      <c r="U78" s="257"/>
      <c r="V78" s="257"/>
      <c r="W78" s="257"/>
      <c r="X78" s="257"/>
      <c r="Y78" s="257"/>
      <c r="Z78" s="257"/>
      <c r="AA78" s="257"/>
      <c r="AB78" s="257"/>
      <c r="AC78" s="257">
        <f t="shared" si="27"/>
        <v>0</v>
      </c>
      <c r="AD78" s="257">
        <f t="shared" si="28"/>
        <v>5505.7333333333336</v>
      </c>
      <c r="AE78" s="257">
        <f t="shared" si="29"/>
        <v>0</v>
      </c>
      <c r="AF78" s="257">
        <f t="shared" si="30"/>
        <v>0</v>
      </c>
      <c r="AG78" s="257">
        <f t="shared" si="31"/>
        <v>0</v>
      </c>
      <c r="AH78" s="257">
        <f t="shared" si="32"/>
        <v>0</v>
      </c>
      <c r="AI78" s="257">
        <f t="shared" si="33"/>
        <v>0</v>
      </c>
      <c r="AJ78" s="257">
        <f t="shared" si="34"/>
        <v>0</v>
      </c>
      <c r="AK78" s="257">
        <f t="shared" si="35"/>
        <v>0</v>
      </c>
      <c r="AL78" s="256">
        <f t="shared" si="36"/>
        <v>0</v>
      </c>
      <c r="AM78" s="256"/>
      <c r="AN78" s="256"/>
      <c r="AO78" s="256"/>
      <c r="AP78" s="256">
        <f t="shared" si="37"/>
        <v>0</v>
      </c>
      <c r="AQ78" s="256"/>
      <c r="AR78" s="256"/>
      <c r="AS78" s="256"/>
      <c r="AT78" s="256"/>
      <c r="AU78" s="256"/>
      <c r="AV78" s="256"/>
      <c r="AW78" s="256"/>
      <c r="AX78" s="256"/>
      <c r="AY78" s="256"/>
      <c r="AZ78" s="256">
        <v>20</v>
      </c>
      <c r="BA78" s="256">
        <v>0.35</v>
      </c>
      <c r="BB78" s="256">
        <f t="shared" si="22"/>
        <v>48725.74</v>
      </c>
      <c r="BC78" s="256"/>
      <c r="BD78" s="256"/>
      <c r="BE78" s="256"/>
      <c r="BF78" s="256">
        <v>20</v>
      </c>
      <c r="BG78" s="256">
        <f t="shared" si="38"/>
        <v>41764.92</v>
      </c>
      <c r="BH78" s="256"/>
      <c r="BI78" s="256"/>
      <c r="BJ78" s="256">
        <v>20</v>
      </c>
      <c r="BK78" s="256">
        <f t="shared" si="21"/>
        <v>7865.333333333333</v>
      </c>
      <c r="BL78" s="256">
        <f t="shared" si="39"/>
        <v>13921.64</v>
      </c>
      <c r="BM78" s="256">
        <f t="shared" si="40"/>
        <v>265848.26666666666</v>
      </c>
      <c r="BN78" s="182"/>
      <c r="BO78" s="182"/>
    </row>
    <row r="79" spans="1:67" s="186" customFormat="1" ht="72.75" customHeight="1">
      <c r="A79" s="255" t="s">
        <v>383</v>
      </c>
      <c r="B79" s="255" t="s">
        <v>103</v>
      </c>
      <c r="C79" s="255" t="s">
        <v>384</v>
      </c>
      <c r="D79" s="255" t="s">
        <v>290</v>
      </c>
      <c r="E79" s="255" t="s">
        <v>125</v>
      </c>
      <c r="F79" s="255" t="s">
        <v>126</v>
      </c>
      <c r="G79" s="255">
        <v>5.16</v>
      </c>
      <c r="H79" s="256">
        <f t="shared" si="23"/>
        <v>136974.78</v>
      </c>
      <c r="I79" s="256"/>
      <c r="J79" s="256">
        <v>12</v>
      </c>
      <c r="K79" s="256">
        <v>4</v>
      </c>
      <c r="L79" s="256">
        <f t="shared" si="24"/>
        <v>0</v>
      </c>
      <c r="M79" s="256">
        <f t="shared" si="25"/>
        <v>91316.52</v>
      </c>
      <c r="N79" s="256">
        <f t="shared" si="26"/>
        <v>30438.84</v>
      </c>
      <c r="O79" s="256"/>
      <c r="P79" s="256"/>
      <c r="Q79" s="256"/>
      <c r="R79" s="256"/>
      <c r="S79" s="257"/>
      <c r="T79" s="257"/>
      <c r="U79" s="257"/>
      <c r="V79" s="257">
        <v>12</v>
      </c>
      <c r="W79" s="257"/>
      <c r="X79" s="257"/>
      <c r="Y79" s="257"/>
      <c r="Z79" s="257">
        <v>4</v>
      </c>
      <c r="AA79" s="257"/>
      <c r="AB79" s="257"/>
      <c r="AC79" s="257">
        <f t="shared" si="27"/>
        <v>0</v>
      </c>
      <c r="AD79" s="257">
        <f t="shared" si="28"/>
        <v>0</v>
      </c>
      <c r="AE79" s="257">
        <f t="shared" si="29"/>
        <v>0</v>
      </c>
      <c r="AF79" s="257">
        <f t="shared" si="30"/>
        <v>4719.2</v>
      </c>
      <c r="AG79" s="257">
        <f t="shared" si="31"/>
        <v>0</v>
      </c>
      <c r="AH79" s="257">
        <f t="shared" si="32"/>
        <v>0</v>
      </c>
      <c r="AI79" s="257">
        <f t="shared" si="33"/>
        <v>0</v>
      </c>
      <c r="AJ79" s="257">
        <f t="shared" si="34"/>
        <v>1573.0666666666666</v>
      </c>
      <c r="AK79" s="257">
        <f t="shared" si="35"/>
        <v>0</v>
      </c>
      <c r="AL79" s="256">
        <f t="shared" si="36"/>
        <v>0</v>
      </c>
      <c r="AM79" s="256"/>
      <c r="AN79" s="256"/>
      <c r="AO79" s="256">
        <v>10</v>
      </c>
      <c r="AP79" s="256">
        <f t="shared" si="37"/>
        <v>1966.3333333333333</v>
      </c>
      <c r="AQ79" s="256"/>
      <c r="AR79" s="256"/>
      <c r="AS79" s="256"/>
      <c r="AT79" s="256"/>
      <c r="AU79" s="256"/>
      <c r="AV79" s="256"/>
      <c r="AW79" s="256">
        <v>0.3</v>
      </c>
      <c r="AX79" s="261">
        <v>16</v>
      </c>
      <c r="AY79" s="256">
        <f>H79*30%/18*(I79+J79+K79)</f>
        <v>36526.608</v>
      </c>
      <c r="AZ79" s="256"/>
      <c r="BA79" s="256"/>
      <c r="BB79" s="256"/>
      <c r="BC79" s="256"/>
      <c r="BD79" s="256"/>
      <c r="BE79" s="256"/>
      <c r="BF79" s="256">
        <v>16</v>
      </c>
      <c r="BG79" s="256">
        <f t="shared" si="38"/>
        <v>36526.608</v>
      </c>
      <c r="BH79" s="256"/>
      <c r="BI79" s="256"/>
      <c r="BJ79" s="256">
        <v>2</v>
      </c>
      <c r="BK79" s="256">
        <f t="shared" si="21"/>
        <v>786.5333333333333</v>
      </c>
      <c r="BL79" s="256">
        <f t="shared" si="39"/>
        <v>12175.536</v>
      </c>
      <c r="BM79" s="256">
        <f t="shared" si="40"/>
        <v>216029.24533333333</v>
      </c>
      <c r="BN79" s="182"/>
      <c r="BO79" s="182"/>
    </row>
    <row r="80" spans="1:67" s="186" customFormat="1" ht="72.75" customHeight="1">
      <c r="A80" s="255" t="s">
        <v>385</v>
      </c>
      <c r="B80" s="255" t="s">
        <v>103</v>
      </c>
      <c r="C80" s="255" t="s">
        <v>386</v>
      </c>
      <c r="D80" s="255" t="s">
        <v>140</v>
      </c>
      <c r="E80" s="255" t="s">
        <v>125</v>
      </c>
      <c r="F80" s="255" t="s">
        <v>126</v>
      </c>
      <c r="G80" s="255">
        <v>5.08</v>
      </c>
      <c r="H80" s="256">
        <f t="shared" si="23"/>
        <v>134851.13999999998</v>
      </c>
      <c r="I80" s="256">
        <v>18</v>
      </c>
      <c r="J80" s="256"/>
      <c r="K80" s="256"/>
      <c r="L80" s="256">
        <f t="shared" si="24"/>
        <v>134851.13999999998</v>
      </c>
      <c r="M80" s="256">
        <f t="shared" si="25"/>
        <v>0</v>
      </c>
      <c r="N80" s="256">
        <f t="shared" si="26"/>
        <v>0</v>
      </c>
      <c r="O80" s="256" t="s">
        <v>226</v>
      </c>
      <c r="P80" s="259">
        <f>17697*50%</f>
        <v>8848.5</v>
      </c>
      <c r="Q80" s="256"/>
      <c r="R80" s="256"/>
      <c r="S80" s="257"/>
      <c r="T80" s="257">
        <v>2</v>
      </c>
      <c r="U80" s="257"/>
      <c r="V80" s="257"/>
      <c r="W80" s="257"/>
      <c r="X80" s="257"/>
      <c r="Y80" s="257"/>
      <c r="Z80" s="257"/>
      <c r="AA80" s="257"/>
      <c r="AB80" s="257"/>
      <c r="AC80" s="257">
        <f t="shared" si="27"/>
        <v>0</v>
      </c>
      <c r="AD80" s="257">
        <f t="shared" si="28"/>
        <v>786.5333333333333</v>
      </c>
      <c r="AE80" s="257">
        <f t="shared" si="29"/>
        <v>0</v>
      </c>
      <c r="AF80" s="257">
        <f t="shared" si="30"/>
        <v>0</v>
      </c>
      <c r="AG80" s="257">
        <f t="shared" si="31"/>
        <v>0</v>
      </c>
      <c r="AH80" s="257">
        <f t="shared" si="32"/>
        <v>0</v>
      </c>
      <c r="AI80" s="257">
        <f t="shared" si="33"/>
        <v>0</v>
      </c>
      <c r="AJ80" s="257">
        <f t="shared" si="34"/>
        <v>0</v>
      </c>
      <c r="AK80" s="257">
        <f t="shared" si="35"/>
        <v>0</v>
      </c>
      <c r="AL80" s="256">
        <f t="shared" si="36"/>
        <v>0</v>
      </c>
      <c r="AM80" s="256"/>
      <c r="AN80" s="256"/>
      <c r="AO80" s="256">
        <v>9</v>
      </c>
      <c r="AP80" s="256">
        <f t="shared" si="37"/>
        <v>1769.6999999999998</v>
      </c>
      <c r="AQ80" s="256"/>
      <c r="AR80" s="256"/>
      <c r="AS80" s="256"/>
      <c r="AT80" s="256"/>
      <c r="AU80" s="256"/>
      <c r="AV80" s="256"/>
      <c r="AW80" s="256"/>
      <c r="AX80" s="261"/>
      <c r="AY80" s="256"/>
      <c r="AZ80" s="256"/>
      <c r="BA80" s="256"/>
      <c r="BB80" s="256"/>
      <c r="BC80" s="256"/>
      <c r="BD80" s="256"/>
      <c r="BE80" s="256"/>
      <c r="BF80" s="256">
        <v>18</v>
      </c>
      <c r="BG80" s="256">
        <f t="shared" si="38"/>
        <v>40455.341999999997</v>
      </c>
      <c r="BH80" s="256"/>
      <c r="BI80" s="256"/>
      <c r="BJ80" s="256"/>
      <c r="BK80" s="256">
        <f t="shared" si="21"/>
        <v>0</v>
      </c>
      <c r="BL80" s="256">
        <f t="shared" si="39"/>
        <v>13485.114</v>
      </c>
      <c r="BM80" s="256">
        <f t="shared" si="40"/>
        <v>200196.32933333333</v>
      </c>
      <c r="BN80" s="182"/>
      <c r="BO80" s="182"/>
    </row>
    <row r="81" spans="1:67" s="186" customFormat="1" ht="72.75" customHeight="1">
      <c r="A81" s="255" t="s">
        <v>387</v>
      </c>
      <c r="B81" s="255" t="s">
        <v>103</v>
      </c>
      <c r="C81" s="255" t="s">
        <v>388</v>
      </c>
      <c r="D81" s="255" t="s">
        <v>129</v>
      </c>
      <c r="E81" s="255" t="s">
        <v>125</v>
      </c>
      <c r="F81" s="255" t="s">
        <v>126</v>
      </c>
      <c r="G81" s="267">
        <v>4.99</v>
      </c>
      <c r="H81" s="256">
        <f t="shared" si="23"/>
        <v>132462.04499999998</v>
      </c>
      <c r="I81" s="256"/>
      <c r="J81" s="256">
        <v>15</v>
      </c>
      <c r="K81" s="256">
        <v>7</v>
      </c>
      <c r="L81" s="256">
        <f t="shared" si="24"/>
        <v>0</v>
      </c>
      <c r="M81" s="256">
        <f t="shared" si="25"/>
        <v>110385.03749999998</v>
      </c>
      <c r="N81" s="256">
        <f t="shared" si="26"/>
        <v>51513.017499999987</v>
      </c>
      <c r="O81" s="256" t="s">
        <v>304</v>
      </c>
      <c r="P81" s="256"/>
      <c r="Q81" s="256">
        <f>17697*60%</f>
        <v>10618.199999999999</v>
      </c>
      <c r="R81" s="256"/>
      <c r="S81" s="257"/>
      <c r="T81" s="257"/>
      <c r="U81" s="257">
        <v>15</v>
      </c>
      <c r="V81" s="257"/>
      <c r="W81" s="257"/>
      <c r="X81" s="257"/>
      <c r="Y81" s="257">
        <v>6</v>
      </c>
      <c r="Z81" s="257"/>
      <c r="AA81" s="257"/>
      <c r="AB81" s="257"/>
      <c r="AC81" s="257">
        <f t="shared" si="27"/>
        <v>0</v>
      </c>
      <c r="AD81" s="257">
        <f t="shared" si="28"/>
        <v>0</v>
      </c>
      <c r="AE81" s="257">
        <f t="shared" si="29"/>
        <v>2949.5</v>
      </c>
      <c r="AF81" s="257">
        <f t="shared" si="30"/>
        <v>0</v>
      </c>
      <c r="AG81" s="257">
        <f t="shared" si="31"/>
        <v>0</v>
      </c>
      <c r="AH81" s="257">
        <f t="shared" si="32"/>
        <v>0</v>
      </c>
      <c r="AI81" s="257">
        <f t="shared" si="33"/>
        <v>1179.8</v>
      </c>
      <c r="AJ81" s="257">
        <f t="shared" si="34"/>
        <v>0</v>
      </c>
      <c r="AK81" s="257">
        <f t="shared" si="35"/>
        <v>0</v>
      </c>
      <c r="AL81" s="256">
        <f t="shared" si="36"/>
        <v>0</v>
      </c>
      <c r="AM81" s="256"/>
      <c r="AN81" s="256"/>
      <c r="AO81" s="256">
        <v>16</v>
      </c>
      <c r="AP81" s="256">
        <f t="shared" si="37"/>
        <v>3146.1333333333332</v>
      </c>
      <c r="AQ81" s="256"/>
      <c r="AR81" s="256"/>
      <c r="AS81" s="256"/>
      <c r="AT81" s="256"/>
      <c r="AU81" s="256"/>
      <c r="AV81" s="256"/>
      <c r="AW81" s="256">
        <v>0.3</v>
      </c>
      <c r="AX81" s="261">
        <v>22</v>
      </c>
      <c r="AY81" s="256">
        <f>H81*30%/18*(I81+J81+K81)</f>
        <v>48569.416499999992</v>
      </c>
      <c r="AZ81" s="256"/>
      <c r="BA81" s="256"/>
      <c r="BB81" s="256"/>
      <c r="BC81" s="256"/>
      <c r="BD81" s="256"/>
      <c r="BE81" s="256"/>
      <c r="BF81" s="256">
        <v>22</v>
      </c>
      <c r="BG81" s="256">
        <f t="shared" si="38"/>
        <v>48569.416499999985</v>
      </c>
      <c r="BH81" s="256"/>
      <c r="BI81" s="256"/>
      <c r="BJ81" s="256">
        <v>3</v>
      </c>
      <c r="BK81" s="256">
        <f t="shared" si="21"/>
        <v>1179.8</v>
      </c>
      <c r="BL81" s="256">
        <f t="shared" si="39"/>
        <v>16189.805499999997</v>
      </c>
      <c r="BM81" s="256">
        <f t="shared" si="40"/>
        <v>294300.12683333328</v>
      </c>
      <c r="BN81" s="182"/>
      <c r="BO81" s="182"/>
    </row>
    <row r="82" spans="1:67" s="186" customFormat="1" ht="72.75" customHeight="1">
      <c r="A82" s="255" t="s">
        <v>389</v>
      </c>
      <c r="B82" s="255" t="s">
        <v>103</v>
      </c>
      <c r="C82" s="255" t="s">
        <v>390</v>
      </c>
      <c r="D82" s="255" t="s">
        <v>129</v>
      </c>
      <c r="E82" s="255" t="s">
        <v>125</v>
      </c>
      <c r="F82" s="255" t="s">
        <v>126</v>
      </c>
      <c r="G82" s="255">
        <v>4.8099999999999996</v>
      </c>
      <c r="H82" s="256">
        <f t="shared" si="23"/>
        <v>127683.85499999998</v>
      </c>
      <c r="I82" s="256">
        <v>18</v>
      </c>
      <c r="J82" s="256"/>
      <c r="K82" s="256"/>
      <c r="L82" s="256">
        <f t="shared" si="24"/>
        <v>127683.85499999998</v>
      </c>
      <c r="M82" s="256">
        <f t="shared" si="25"/>
        <v>0</v>
      </c>
      <c r="N82" s="256">
        <f t="shared" si="26"/>
        <v>0</v>
      </c>
      <c r="O82" s="256"/>
      <c r="P82" s="256"/>
      <c r="Q82" s="256"/>
      <c r="R82" s="256"/>
      <c r="S82" s="257"/>
      <c r="T82" s="257"/>
      <c r="U82" s="257"/>
      <c r="V82" s="257"/>
      <c r="W82" s="257"/>
      <c r="X82" s="257"/>
      <c r="Y82" s="257"/>
      <c r="Z82" s="257"/>
      <c r="AA82" s="257"/>
      <c r="AB82" s="257"/>
      <c r="AC82" s="257">
        <f t="shared" si="27"/>
        <v>0</v>
      </c>
      <c r="AD82" s="257">
        <f t="shared" si="28"/>
        <v>0</v>
      </c>
      <c r="AE82" s="257">
        <f t="shared" si="29"/>
        <v>0</v>
      </c>
      <c r="AF82" s="257">
        <f t="shared" si="30"/>
        <v>0</v>
      </c>
      <c r="AG82" s="257">
        <f t="shared" si="31"/>
        <v>0</v>
      </c>
      <c r="AH82" s="257">
        <f t="shared" si="32"/>
        <v>0</v>
      </c>
      <c r="AI82" s="257">
        <f t="shared" si="33"/>
        <v>0</v>
      </c>
      <c r="AJ82" s="257">
        <f t="shared" si="34"/>
        <v>0</v>
      </c>
      <c r="AK82" s="257">
        <f t="shared" si="35"/>
        <v>0</v>
      </c>
      <c r="AL82" s="256">
        <f t="shared" si="36"/>
        <v>0</v>
      </c>
      <c r="AM82" s="256"/>
      <c r="AN82" s="256"/>
      <c r="AO82" s="256">
        <v>10</v>
      </c>
      <c r="AP82" s="256">
        <f t="shared" si="37"/>
        <v>1966.3333333333333</v>
      </c>
      <c r="AQ82" s="256"/>
      <c r="AR82" s="256"/>
      <c r="AS82" s="256"/>
      <c r="AT82" s="256"/>
      <c r="AU82" s="256"/>
      <c r="AV82" s="256"/>
      <c r="AW82" s="256"/>
      <c r="AX82" s="256"/>
      <c r="AY82" s="256"/>
      <c r="AZ82" s="256"/>
      <c r="BA82" s="256"/>
      <c r="BB82" s="256"/>
      <c r="BC82" s="256"/>
      <c r="BD82" s="256"/>
      <c r="BE82" s="256"/>
      <c r="BF82" s="256">
        <v>18</v>
      </c>
      <c r="BG82" s="256">
        <f t="shared" si="38"/>
        <v>38305.15649999999</v>
      </c>
      <c r="BH82" s="256"/>
      <c r="BI82" s="256"/>
      <c r="BJ82" s="256"/>
      <c r="BK82" s="256">
        <f t="shared" si="21"/>
        <v>0</v>
      </c>
      <c r="BL82" s="256">
        <f t="shared" si="39"/>
        <v>12768.385499999999</v>
      </c>
      <c r="BM82" s="256">
        <f t="shared" si="40"/>
        <v>180723.73033333331</v>
      </c>
      <c r="BN82" s="182"/>
      <c r="BO82" s="182"/>
    </row>
    <row r="83" spans="1:67" s="17" customFormat="1" ht="72.75" customHeight="1">
      <c r="A83" s="262" t="s">
        <v>391</v>
      </c>
      <c r="B83" s="262" t="s">
        <v>103</v>
      </c>
      <c r="C83" s="262" t="s">
        <v>392</v>
      </c>
      <c r="D83" s="262" t="s">
        <v>140</v>
      </c>
      <c r="E83" s="262" t="s">
        <v>125</v>
      </c>
      <c r="F83" s="262" t="s">
        <v>126</v>
      </c>
      <c r="G83" s="255">
        <v>4.8099999999999996</v>
      </c>
      <c r="H83" s="256">
        <f t="shared" si="23"/>
        <v>127683.85499999998</v>
      </c>
      <c r="I83" s="259">
        <v>20</v>
      </c>
      <c r="J83" s="259"/>
      <c r="K83" s="259"/>
      <c r="L83" s="256">
        <f t="shared" si="24"/>
        <v>141870.94999999998</v>
      </c>
      <c r="M83" s="256">
        <f t="shared" si="25"/>
        <v>0</v>
      </c>
      <c r="N83" s="256">
        <f t="shared" si="26"/>
        <v>0</v>
      </c>
      <c r="O83" s="259" t="s">
        <v>393</v>
      </c>
      <c r="P83" s="259">
        <f>17697*50%</f>
        <v>8848.5</v>
      </c>
      <c r="Q83" s="259"/>
      <c r="R83" s="259"/>
      <c r="S83" s="263"/>
      <c r="T83" s="263">
        <v>14</v>
      </c>
      <c r="U83" s="263"/>
      <c r="V83" s="263"/>
      <c r="W83" s="263"/>
      <c r="X83" s="263"/>
      <c r="Y83" s="263"/>
      <c r="Z83" s="263"/>
      <c r="AA83" s="263"/>
      <c r="AB83" s="263"/>
      <c r="AC83" s="257">
        <f t="shared" si="27"/>
        <v>0</v>
      </c>
      <c r="AD83" s="257">
        <f t="shared" si="28"/>
        <v>5505.7333333333336</v>
      </c>
      <c r="AE83" s="257">
        <f t="shared" si="29"/>
        <v>0</v>
      </c>
      <c r="AF83" s="257">
        <f t="shared" si="30"/>
        <v>0</v>
      </c>
      <c r="AG83" s="257">
        <f t="shared" si="31"/>
        <v>0</v>
      </c>
      <c r="AH83" s="257">
        <f t="shared" si="32"/>
        <v>0</v>
      </c>
      <c r="AI83" s="257">
        <f t="shared" si="33"/>
        <v>0</v>
      </c>
      <c r="AJ83" s="257">
        <f t="shared" si="34"/>
        <v>0</v>
      </c>
      <c r="AK83" s="257">
        <f t="shared" si="35"/>
        <v>0</v>
      </c>
      <c r="AL83" s="256">
        <f t="shared" si="36"/>
        <v>0</v>
      </c>
      <c r="AM83" s="259"/>
      <c r="AN83" s="259"/>
      <c r="AO83" s="259"/>
      <c r="AP83" s="256">
        <f t="shared" si="37"/>
        <v>0</v>
      </c>
      <c r="AQ83" s="259"/>
      <c r="AR83" s="259"/>
      <c r="AS83" s="259"/>
      <c r="AT83" s="259"/>
      <c r="AU83" s="259"/>
      <c r="AV83" s="259"/>
      <c r="AW83" s="259">
        <v>0.3</v>
      </c>
      <c r="AX83" s="258">
        <v>20</v>
      </c>
      <c r="AY83" s="256">
        <f>H83*30%/18*(I83+J83+K83)</f>
        <v>42561.284999999989</v>
      </c>
      <c r="AZ83" s="259"/>
      <c r="BA83" s="259"/>
      <c r="BB83" s="259"/>
      <c r="BC83" s="259"/>
      <c r="BD83" s="259"/>
      <c r="BE83" s="259"/>
      <c r="BF83" s="259">
        <v>20</v>
      </c>
      <c r="BG83" s="259">
        <f t="shared" si="38"/>
        <v>42561.284999999996</v>
      </c>
      <c r="BH83" s="259"/>
      <c r="BI83" s="259"/>
      <c r="BJ83" s="259"/>
      <c r="BK83" s="256">
        <f t="shared" si="21"/>
        <v>0</v>
      </c>
      <c r="BL83" s="256">
        <f t="shared" si="39"/>
        <v>14187.094999999999</v>
      </c>
      <c r="BM83" s="256">
        <f t="shared" si="40"/>
        <v>255534.84833333333</v>
      </c>
      <c r="BN83" s="188"/>
      <c r="BO83" s="188"/>
    </row>
    <row r="84" spans="1:67" s="186" customFormat="1" ht="72.75" customHeight="1">
      <c r="A84" s="255" t="s">
        <v>122</v>
      </c>
      <c r="B84" s="255" t="s">
        <v>103</v>
      </c>
      <c r="C84" s="255" t="s">
        <v>123</v>
      </c>
      <c r="D84" s="255" t="s">
        <v>124</v>
      </c>
      <c r="E84" s="255" t="s">
        <v>125</v>
      </c>
      <c r="F84" s="255" t="s">
        <v>126</v>
      </c>
      <c r="G84" s="255">
        <v>4.74</v>
      </c>
      <c r="H84" s="256">
        <f t="shared" si="23"/>
        <v>125825.67</v>
      </c>
      <c r="I84" s="256"/>
      <c r="J84" s="256">
        <v>18</v>
      </c>
      <c r="K84" s="256"/>
      <c r="L84" s="256">
        <f t="shared" si="24"/>
        <v>0</v>
      </c>
      <c r="M84" s="256">
        <f t="shared" si="25"/>
        <v>125825.67</v>
      </c>
      <c r="N84" s="256">
        <f t="shared" si="26"/>
        <v>0</v>
      </c>
      <c r="O84" s="256" t="s">
        <v>335</v>
      </c>
      <c r="P84" s="256"/>
      <c r="Q84" s="256">
        <f>17697*60%</f>
        <v>10618.199999999999</v>
      </c>
      <c r="R84" s="256"/>
      <c r="S84" s="257"/>
      <c r="T84" s="257"/>
      <c r="U84" s="257"/>
      <c r="V84" s="257"/>
      <c r="W84" s="257"/>
      <c r="X84" s="257"/>
      <c r="Y84" s="257"/>
      <c r="Z84" s="257"/>
      <c r="AA84" s="257"/>
      <c r="AB84" s="257"/>
      <c r="AC84" s="257">
        <f t="shared" si="27"/>
        <v>0</v>
      </c>
      <c r="AD84" s="257">
        <f t="shared" si="28"/>
        <v>0</v>
      </c>
      <c r="AE84" s="257">
        <f t="shared" si="29"/>
        <v>0</v>
      </c>
      <c r="AF84" s="257">
        <f t="shared" si="30"/>
        <v>0</v>
      </c>
      <c r="AG84" s="257">
        <f t="shared" si="31"/>
        <v>0</v>
      </c>
      <c r="AH84" s="257">
        <f t="shared" si="32"/>
        <v>0</v>
      </c>
      <c r="AI84" s="257">
        <f t="shared" si="33"/>
        <v>0</v>
      </c>
      <c r="AJ84" s="257">
        <f t="shared" si="34"/>
        <v>0</v>
      </c>
      <c r="AK84" s="257">
        <f t="shared" si="35"/>
        <v>0</v>
      </c>
      <c r="AL84" s="256">
        <f t="shared" si="36"/>
        <v>0</v>
      </c>
      <c r="AM84" s="256"/>
      <c r="AN84" s="256"/>
      <c r="AO84" s="256">
        <v>7</v>
      </c>
      <c r="AP84" s="256">
        <f t="shared" si="37"/>
        <v>1376.4333333333334</v>
      </c>
      <c r="AQ84" s="256"/>
      <c r="AR84" s="256"/>
      <c r="AS84" s="256"/>
      <c r="AT84" s="256"/>
      <c r="AU84" s="256"/>
      <c r="AV84" s="256"/>
      <c r="AW84" s="256">
        <v>0.3</v>
      </c>
      <c r="AX84" s="261">
        <v>18</v>
      </c>
      <c r="AY84" s="256">
        <f>H84*30%/18*(I84+J84+K84)</f>
        <v>37747.701000000001</v>
      </c>
      <c r="AZ84" s="256"/>
      <c r="BA84" s="256"/>
      <c r="BB84" s="256"/>
      <c r="BC84" s="256"/>
      <c r="BD84" s="256"/>
      <c r="BE84" s="256"/>
      <c r="BF84" s="256">
        <v>18</v>
      </c>
      <c r="BG84" s="256">
        <f t="shared" si="38"/>
        <v>37747.701000000001</v>
      </c>
      <c r="BH84" s="256"/>
      <c r="BI84" s="256"/>
      <c r="BJ84" s="256">
        <v>2</v>
      </c>
      <c r="BK84" s="256">
        <f t="shared" si="21"/>
        <v>786.5333333333333</v>
      </c>
      <c r="BL84" s="256">
        <f t="shared" si="39"/>
        <v>12582.567000000001</v>
      </c>
      <c r="BM84" s="256">
        <f t="shared" si="40"/>
        <v>226684.80566666665</v>
      </c>
      <c r="BN84" s="182"/>
      <c r="BO84" s="182"/>
    </row>
    <row r="85" spans="1:67" s="186" customFormat="1" ht="72.75" customHeight="1">
      <c r="A85" s="255" t="s">
        <v>122</v>
      </c>
      <c r="B85" s="255" t="s">
        <v>103</v>
      </c>
      <c r="C85" s="255" t="s">
        <v>123</v>
      </c>
      <c r="D85" s="255" t="s">
        <v>238</v>
      </c>
      <c r="E85" s="255" t="s">
        <v>125</v>
      </c>
      <c r="F85" s="255" t="s">
        <v>126</v>
      </c>
      <c r="G85" s="255">
        <v>4.74</v>
      </c>
      <c r="H85" s="256">
        <f t="shared" si="23"/>
        <v>125825.67</v>
      </c>
      <c r="I85" s="256">
        <v>5</v>
      </c>
      <c r="J85" s="256"/>
      <c r="K85" s="256"/>
      <c r="L85" s="256">
        <f t="shared" si="24"/>
        <v>34951.574999999997</v>
      </c>
      <c r="M85" s="256">
        <f t="shared" si="25"/>
        <v>0</v>
      </c>
      <c r="N85" s="256">
        <f t="shared" si="26"/>
        <v>0</v>
      </c>
      <c r="O85" s="256"/>
      <c r="P85" s="256"/>
      <c r="Q85" s="256"/>
      <c r="R85" s="256"/>
      <c r="S85" s="257"/>
      <c r="T85" s="257"/>
      <c r="U85" s="257"/>
      <c r="V85" s="257"/>
      <c r="W85" s="257"/>
      <c r="X85" s="257"/>
      <c r="Y85" s="257"/>
      <c r="Z85" s="257"/>
      <c r="AA85" s="257"/>
      <c r="AB85" s="257"/>
      <c r="AC85" s="257">
        <f t="shared" si="27"/>
        <v>0</v>
      </c>
      <c r="AD85" s="257">
        <f t="shared" si="28"/>
        <v>0</v>
      </c>
      <c r="AE85" s="257">
        <f t="shared" si="29"/>
        <v>0</v>
      </c>
      <c r="AF85" s="257">
        <f t="shared" si="30"/>
        <v>0</v>
      </c>
      <c r="AG85" s="257">
        <f t="shared" si="31"/>
        <v>0</v>
      </c>
      <c r="AH85" s="257">
        <f t="shared" si="32"/>
        <v>0</v>
      </c>
      <c r="AI85" s="257">
        <f t="shared" si="33"/>
        <v>0</v>
      </c>
      <c r="AJ85" s="257">
        <f t="shared" si="34"/>
        <v>0</v>
      </c>
      <c r="AK85" s="257">
        <f t="shared" si="35"/>
        <v>0</v>
      </c>
      <c r="AL85" s="256">
        <f t="shared" si="36"/>
        <v>0</v>
      </c>
      <c r="AM85" s="256"/>
      <c r="AN85" s="256"/>
      <c r="AO85" s="256"/>
      <c r="AP85" s="256">
        <f t="shared" si="37"/>
        <v>0</v>
      </c>
      <c r="AQ85" s="256"/>
      <c r="AR85" s="256"/>
      <c r="AS85" s="256"/>
      <c r="AT85" s="256"/>
      <c r="AU85" s="256"/>
      <c r="AV85" s="256"/>
      <c r="AW85" s="256"/>
      <c r="AX85" s="261"/>
      <c r="AY85" s="256"/>
      <c r="AZ85" s="256"/>
      <c r="BA85" s="256"/>
      <c r="BB85" s="256"/>
      <c r="BC85" s="256"/>
      <c r="BD85" s="256"/>
      <c r="BE85" s="256"/>
      <c r="BF85" s="256">
        <v>5</v>
      </c>
      <c r="BG85" s="256">
        <f t="shared" si="38"/>
        <v>10485.472499999998</v>
      </c>
      <c r="BH85" s="256"/>
      <c r="BI85" s="256"/>
      <c r="BJ85" s="256"/>
      <c r="BK85" s="256">
        <f t="shared" si="21"/>
        <v>0</v>
      </c>
      <c r="BL85" s="256">
        <f t="shared" si="39"/>
        <v>3495.1574999999998</v>
      </c>
      <c r="BM85" s="256">
        <f t="shared" si="40"/>
        <v>48932.204999999994</v>
      </c>
      <c r="BN85" s="182"/>
      <c r="BO85" s="182"/>
    </row>
    <row r="86" spans="1:67" s="274" customFormat="1" ht="1.5" customHeight="1">
      <c r="A86" s="269"/>
      <c r="B86" s="269"/>
      <c r="C86" s="269"/>
      <c r="D86" s="269"/>
      <c r="E86" s="269"/>
      <c r="F86" s="269"/>
      <c r="G86" s="269"/>
      <c r="H86" s="261">
        <f t="shared" ref="H86" si="41">17697*G86*1.25</f>
        <v>0</v>
      </c>
      <c r="I86" s="270">
        <v>479</v>
      </c>
      <c r="J86" s="270">
        <v>807</v>
      </c>
      <c r="K86" s="270">
        <v>191</v>
      </c>
      <c r="L86" s="261">
        <f>SUM(L12:L85)</f>
        <v>3646393.1124999998</v>
      </c>
      <c r="M86" s="261">
        <f>SUM(M12:M85)</f>
        <v>6222501.1600000001</v>
      </c>
      <c r="N86" s="261">
        <f>SUM(N12:N85)</f>
        <v>1488789.6200000003</v>
      </c>
      <c r="O86" s="270" t="s">
        <v>394</v>
      </c>
      <c r="P86" s="261">
        <f>SUM(P17:P85)</f>
        <v>123879</v>
      </c>
      <c r="Q86" s="261">
        <f>SUM(Q17:Q85)</f>
        <v>217673.10000000006</v>
      </c>
      <c r="R86" s="261">
        <f>SUM(R17:R85)</f>
        <v>42472.799999999996</v>
      </c>
      <c r="S86" s="271">
        <f t="shared" ref="S86:AL86" si="42">SUM(S12:S85)</f>
        <v>100</v>
      </c>
      <c r="T86" s="272">
        <f t="shared" si="42"/>
        <v>187</v>
      </c>
      <c r="U86" s="271">
        <f t="shared" si="42"/>
        <v>78</v>
      </c>
      <c r="V86" s="271">
        <f t="shared" si="42"/>
        <v>170</v>
      </c>
      <c r="W86" s="271">
        <f t="shared" si="42"/>
        <v>128</v>
      </c>
      <c r="X86" s="271">
        <f t="shared" si="42"/>
        <v>102</v>
      </c>
      <c r="Y86" s="271">
        <f t="shared" si="42"/>
        <v>9</v>
      </c>
      <c r="Z86" s="271">
        <f t="shared" si="42"/>
        <v>54</v>
      </c>
      <c r="AA86" s="271">
        <f t="shared" si="42"/>
        <v>18</v>
      </c>
      <c r="AB86" s="271">
        <f t="shared" si="42"/>
        <v>19</v>
      </c>
      <c r="AC86" s="257">
        <f t="shared" si="42"/>
        <v>24579.166666666672</v>
      </c>
      <c r="AD86" s="257">
        <f t="shared" si="42"/>
        <v>73540.866666666683</v>
      </c>
      <c r="AE86" s="257">
        <f t="shared" si="42"/>
        <v>15337.399999999998</v>
      </c>
      <c r="AF86" s="257">
        <f t="shared" si="42"/>
        <v>66855.333333333343</v>
      </c>
      <c r="AG86" s="257">
        <f t="shared" si="42"/>
        <v>31461.333333333332</v>
      </c>
      <c r="AH86" s="257">
        <f t="shared" si="42"/>
        <v>50141.5</v>
      </c>
      <c r="AI86" s="257">
        <f t="shared" si="42"/>
        <v>1769.6999999999998</v>
      </c>
      <c r="AJ86" s="257">
        <f t="shared" si="42"/>
        <v>21236.399999999994</v>
      </c>
      <c r="AK86" s="257">
        <f t="shared" si="42"/>
        <v>4424.25</v>
      </c>
      <c r="AL86" s="256">
        <f t="shared" si="42"/>
        <v>9340.0833333333321</v>
      </c>
      <c r="AM86" s="270" t="s">
        <v>395</v>
      </c>
      <c r="AN86" s="261">
        <f>SUM(AN12:AN85)</f>
        <v>60169.800000000017</v>
      </c>
      <c r="AO86" s="270">
        <v>812</v>
      </c>
      <c r="AP86" s="261">
        <f>SUM(AP12:AP85)</f>
        <v>159666.26666666666</v>
      </c>
      <c r="AQ86" s="261"/>
      <c r="AR86" s="261">
        <f>SUM(AR12:AR85)</f>
        <v>0</v>
      </c>
      <c r="AS86" s="270">
        <v>1</v>
      </c>
      <c r="AT86" s="261">
        <f>SUM(AT12:AT85)</f>
        <v>29170</v>
      </c>
      <c r="AU86" s="261"/>
      <c r="AV86" s="261">
        <f>SUM(AV12:AV85)</f>
        <v>53091</v>
      </c>
      <c r="AW86" s="261"/>
      <c r="AX86" s="270">
        <v>76</v>
      </c>
      <c r="AY86" s="261">
        <f>SUM(AY12:AY85)</f>
        <v>165405.01049999997</v>
      </c>
      <c r="AZ86" s="270">
        <v>266</v>
      </c>
      <c r="BA86" s="261"/>
      <c r="BB86" s="261">
        <f>SUM(BB12:BB85)</f>
        <v>685087.00137499988</v>
      </c>
      <c r="BC86" s="270">
        <v>841</v>
      </c>
      <c r="BD86" s="261"/>
      <c r="BE86" s="261">
        <f>SUM(BE12:BE85)</f>
        <v>2586988.753</v>
      </c>
      <c r="BF86" s="270">
        <v>1477</v>
      </c>
      <c r="BG86" s="261">
        <f>SUM(BG12:BG85)</f>
        <v>3407305.1677499996</v>
      </c>
      <c r="BH86" s="270">
        <v>7</v>
      </c>
      <c r="BI86" s="261">
        <f>SUM(BI12:BI85)</f>
        <v>123879</v>
      </c>
      <c r="BJ86" s="270">
        <v>148</v>
      </c>
      <c r="BK86" s="261">
        <f>SUM(BK12:BK85)</f>
        <v>58203.466666666682</v>
      </c>
      <c r="BL86" s="261">
        <f>SUM(BL12:BL85)</f>
        <v>1135768.38925</v>
      </c>
      <c r="BM86" s="261">
        <f>SUM(BM12:BM85)</f>
        <v>20505128.681041658</v>
      </c>
      <c r="BN86" s="273"/>
      <c r="BO86" s="273"/>
    </row>
    <row r="87" spans="1:67" s="186" customFormat="1" ht="112.5" customHeight="1">
      <c r="A87" s="255" t="s">
        <v>396</v>
      </c>
      <c r="B87" s="255" t="s">
        <v>103</v>
      </c>
      <c r="C87" s="255" t="s">
        <v>378</v>
      </c>
      <c r="D87" s="255" t="s">
        <v>105</v>
      </c>
      <c r="E87" s="255" t="s">
        <v>125</v>
      </c>
      <c r="F87" s="255" t="s">
        <v>126</v>
      </c>
      <c r="G87" s="267">
        <v>4.74</v>
      </c>
      <c r="H87" s="256">
        <f t="shared" si="23"/>
        <v>125825.67</v>
      </c>
      <c r="I87" s="256"/>
      <c r="J87" s="256">
        <v>10</v>
      </c>
      <c r="K87" s="256">
        <v>8</v>
      </c>
      <c r="L87" s="256">
        <f>H87/18*I87</f>
        <v>0</v>
      </c>
      <c r="M87" s="256">
        <f>H87/18*J87</f>
        <v>69903.149999999994</v>
      </c>
      <c r="N87" s="256">
        <f>H87/18*K87</f>
        <v>55922.52</v>
      </c>
      <c r="O87" s="256"/>
      <c r="P87" s="256"/>
      <c r="Q87" s="256"/>
      <c r="R87" s="256"/>
      <c r="S87" s="257"/>
      <c r="T87" s="275"/>
      <c r="U87" s="257"/>
      <c r="V87" s="257">
        <v>10</v>
      </c>
      <c r="W87" s="257"/>
      <c r="X87" s="257"/>
      <c r="Y87" s="257"/>
      <c r="Z87" s="257">
        <v>6</v>
      </c>
      <c r="AA87" s="257"/>
      <c r="AB87" s="257"/>
      <c r="AC87" s="257">
        <f t="shared" ref="AC87:AC131" si="43">17697*25%/18*S87</f>
        <v>0</v>
      </c>
      <c r="AD87" s="257">
        <f t="shared" ref="AD87:AD131" si="44">17697*40%/18*T87</f>
        <v>0</v>
      </c>
      <c r="AE87" s="257">
        <f t="shared" ref="AE87:AE131" si="45">17697*20%/18*U87</f>
        <v>0</v>
      </c>
      <c r="AF87" s="257">
        <f t="shared" ref="AF87:AF131" si="46">17697*40%/18*V87</f>
        <v>3932.6666666666665</v>
      </c>
      <c r="AG87" s="257">
        <f t="shared" ref="AG87:AG131" si="47">17697*25%/18*W87</f>
        <v>0</v>
      </c>
      <c r="AH87" s="257">
        <f t="shared" ref="AH87:AH131" si="48">17697*50%/18*X87</f>
        <v>0</v>
      </c>
      <c r="AI87" s="257">
        <f t="shared" ref="AI87:AI131" si="49">17697*20%/18*Y87</f>
        <v>0</v>
      </c>
      <c r="AJ87" s="257">
        <f t="shared" ref="AJ87:AJ131" si="50">17697*40%/18*Z87</f>
        <v>2359.6</v>
      </c>
      <c r="AK87" s="257">
        <f t="shared" ref="AK87:AK131" si="51">17697*25%/18*AA87</f>
        <v>0</v>
      </c>
      <c r="AL87" s="256">
        <f t="shared" ref="AL87:AL131" si="52">17697*50%/18*AB87</f>
        <v>0</v>
      </c>
      <c r="AM87" s="256" t="s">
        <v>397</v>
      </c>
      <c r="AN87" s="256">
        <f>17697*20%</f>
        <v>3539.4</v>
      </c>
      <c r="AO87" s="256">
        <v>13</v>
      </c>
      <c r="AP87" s="256">
        <f>17697*20%/18*AO87</f>
        <v>2556.2333333333331</v>
      </c>
      <c r="AQ87" s="256"/>
      <c r="AR87" s="256"/>
      <c r="AS87" s="256"/>
      <c r="AT87" s="256"/>
      <c r="AU87" s="256"/>
      <c r="AV87" s="256"/>
      <c r="AW87" s="256">
        <v>0.3</v>
      </c>
      <c r="AX87" s="261">
        <v>18</v>
      </c>
      <c r="AY87" s="256">
        <f>H87*30%/18*(I87+J87+K87)</f>
        <v>37747.701000000001</v>
      </c>
      <c r="AZ87" s="256"/>
      <c r="BA87" s="256"/>
      <c r="BB87" s="256"/>
      <c r="BC87" s="256"/>
      <c r="BD87" s="256"/>
      <c r="BE87" s="256"/>
      <c r="BF87" s="256">
        <v>18</v>
      </c>
      <c r="BG87" s="256">
        <f>H87/18*BF87*30%</f>
        <v>37747.701000000001</v>
      </c>
      <c r="BH87" s="256"/>
      <c r="BI87" s="256"/>
      <c r="BJ87" s="256"/>
      <c r="BK87" s="256"/>
      <c r="BL87" s="256">
        <f>(L87+M87+N87)*10%</f>
        <v>12582.566999999999</v>
      </c>
      <c r="BM87" s="256">
        <f t="shared" si="40"/>
        <v>226291.53899999999</v>
      </c>
      <c r="BN87" s="182"/>
      <c r="BO87" s="182"/>
    </row>
    <row r="88" spans="1:67" s="186" customFormat="1" ht="72.75" customHeight="1">
      <c r="A88" s="255" t="s">
        <v>398</v>
      </c>
      <c r="B88" s="255" t="s">
        <v>103</v>
      </c>
      <c r="C88" s="255" t="s">
        <v>399</v>
      </c>
      <c r="D88" s="255" t="s">
        <v>374</v>
      </c>
      <c r="E88" s="255" t="s">
        <v>125</v>
      </c>
      <c r="F88" s="255" t="s">
        <v>126</v>
      </c>
      <c r="G88" s="255">
        <v>4.66</v>
      </c>
      <c r="H88" s="256">
        <f t="shared" si="23"/>
        <v>123702.03</v>
      </c>
      <c r="I88" s="256"/>
      <c r="J88" s="256">
        <v>8</v>
      </c>
      <c r="K88" s="256">
        <v>4</v>
      </c>
      <c r="L88" s="256">
        <f t="shared" ref="L88:L131" si="53">H88/18*I88</f>
        <v>0</v>
      </c>
      <c r="M88" s="256">
        <f t="shared" ref="M88:M131" si="54">H88/18*J88</f>
        <v>54978.68</v>
      </c>
      <c r="N88" s="256">
        <f t="shared" ref="N88:N131" si="55">H88/18*K88</f>
        <v>27489.34</v>
      </c>
      <c r="O88" s="256"/>
      <c r="P88" s="256"/>
      <c r="Q88" s="256"/>
      <c r="R88" s="256"/>
      <c r="S88" s="257"/>
      <c r="T88" s="257"/>
      <c r="U88" s="257"/>
      <c r="V88" s="257">
        <v>8</v>
      </c>
      <c r="W88" s="257"/>
      <c r="X88" s="257"/>
      <c r="Y88" s="257"/>
      <c r="Z88" s="257"/>
      <c r="AA88" s="257"/>
      <c r="AB88" s="257"/>
      <c r="AC88" s="257">
        <f t="shared" si="43"/>
        <v>0</v>
      </c>
      <c r="AD88" s="257">
        <f t="shared" si="44"/>
        <v>0</v>
      </c>
      <c r="AE88" s="257">
        <f t="shared" si="45"/>
        <v>0</v>
      </c>
      <c r="AF88" s="257">
        <f t="shared" si="46"/>
        <v>3146.1333333333332</v>
      </c>
      <c r="AG88" s="257">
        <f t="shared" si="47"/>
        <v>0</v>
      </c>
      <c r="AH88" s="257">
        <f t="shared" si="48"/>
        <v>0</v>
      </c>
      <c r="AI88" s="257">
        <f t="shared" si="49"/>
        <v>0</v>
      </c>
      <c r="AJ88" s="257">
        <f t="shared" si="50"/>
        <v>0</v>
      </c>
      <c r="AK88" s="257">
        <f t="shared" si="51"/>
        <v>0</v>
      </c>
      <c r="AL88" s="256">
        <f t="shared" si="52"/>
        <v>0</v>
      </c>
      <c r="AM88" s="256"/>
      <c r="AN88" s="256"/>
      <c r="AO88" s="256">
        <v>4</v>
      </c>
      <c r="AP88" s="256">
        <f t="shared" ref="AP88:AP131" si="56">17697*20%/18*AO88</f>
        <v>786.5333333333333</v>
      </c>
      <c r="AQ88" s="256"/>
      <c r="AR88" s="256"/>
      <c r="AS88" s="256"/>
      <c r="AT88" s="256"/>
      <c r="AU88" s="256"/>
      <c r="AV88" s="256"/>
      <c r="AW88" s="256"/>
      <c r="AX88" s="256"/>
      <c r="AY88" s="256"/>
      <c r="AZ88" s="256"/>
      <c r="BA88" s="256"/>
      <c r="BB88" s="256"/>
      <c r="BC88" s="256"/>
      <c r="BD88" s="256"/>
      <c r="BE88" s="256"/>
      <c r="BF88" s="256">
        <v>12</v>
      </c>
      <c r="BG88" s="256">
        <f t="shared" ref="BG88:BG131" si="57">H88/18*BF88*30%</f>
        <v>24740.405999999999</v>
      </c>
      <c r="BH88" s="256"/>
      <c r="BI88" s="256"/>
      <c r="BJ88" s="256"/>
      <c r="BK88" s="256"/>
      <c r="BL88" s="256">
        <f t="shared" ref="BL88:BL131" si="58">(L88+M88+N88)*10%</f>
        <v>8246.8020000000015</v>
      </c>
      <c r="BM88" s="256">
        <f t="shared" si="40"/>
        <v>119387.89466666667</v>
      </c>
      <c r="BN88" s="182"/>
      <c r="BO88" s="182"/>
    </row>
    <row r="89" spans="1:67" s="186" customFormat="1" ht="72.75" customHeight="1">
      <c r="A89" s="255" t="s">
        <v>400</v>
      </c>
      <c r="B89" s="255" t="s">
        <v>103</v>
      </c>
      <c r="C89" s="255" t="s">
        <v>139</v>
      </c>
      <c r="D89" s="255" t="s">
        <v>112</v>
      </c>
      <c r="E89" s="255" t="s">
        <v>125</v>
      </c>
      <c r="F89" s="255" t="s">
        <v>126</v>
      </c>
      <c r="G89" s="255">
        <v>4.59</v>
      </c>
      <c r="H89" s="256">
        <f t="shared" si="23"/>
        <v>121843.845</v>
      </c>
      <c r="I89" s="256"/>
      <c r="J89" s="256">
        <v>23</v>
      </c>
      <c r="K89" s="256">
        <v>4</v>
      </c>
      <c r="L89" s="256">
        <f t="shared" si="53"/>
        <v>0</v>
      </c>
      <c r="M89" s="256">
        <f t="shared" si="54"/>
        <v>155689.35750000001</v>
      </c>
      <c r="N89" s="256">
        <f t="shared" si="55"/>
        <v>27076.41</v>
      </c>
      <c r="O89" s="256"/>
      <c r="P89" s="256"/>
      <c r="Q89" s="256"/>
      <c r="R89" s="256"/>
      <c r="S89" s="257"/>
      <c r="T89" s="257"/>
      <c r="U89" s="257"/>
      <c r="V89" s="257"/>
      <c r="W89" s="257"/>
      <c r="X89" s="257"/>
      <c r="Y89" s="257"/>
      <c r="Z89" s="257"/>
      <c r="AA89" s="257"/>
      <c r="AB89" s="257"/>
      <c r="AC89" s="257">
        <f t="shared" si="43"/>
        <v>0</v>
      </c>
      <c r="AD89" s="257">
        <f t="shared" si="44"/>
        <v>0</v>
      </c>
      <c r="AE89" s="257">
        <f t="shared" si="45"/>
        <v>0</v>
      </c>
      <c r="AF89" s="257">
        <f t="shared" si="46"/>
        <v>0</v>
      </c>
      <c r="AG89" s="257">
        <f t="shared" si="47"/>
        <v>0</v>
      </c>
      <c r="AH89" s="257">
        <f t="shared" si="48"/>
        <v>0</v>
      </c>
      <c r="AI89" s="257">
        <f t="shared" si="49"/>
        <v>0</v>
      </c>
      <c r="AJ89" s="257">
        <f t="shared" si="50"/>
        <v>0</v>
      </c>
      <c r="AK89" s="257">
        <f t="shared" si="51"/>
        <v>0</v>
      </c>
      <c r="AL89" s="256">
        <f t="shared" si="52"/>
        <v>0</v>
      </c>
      <c r="AM89" s="256"/>
      <c r="AN89" s="256"/>
      <c r="AO89" s="256">
        <v>15</v>
      </c>
      <c r="AP89" s="256">
        <f t="shared" si="56"/>
        <v>2949.5</v>
      </c>
      <c r="AQ89" s="256"/>
      <c r="AR89" s="256"/>
      <c r="AS89" s="256"/>
      <c r="AT89" s="256"/>
      <c r="AU89" s="256"/>
      <c r="AV89" s="256"/>
      <c r="AW89" s="256">
        <v>0.3</v>
      </c>
      <c r="AX89" s="261">
        <v>27</v>
      </c>
      <c r="AY89" s="256">
        <f>H89*30%/18*(I89+J89+K89)</f>
        <v>54829.730250000001</v>
      </c>
      <c r="AZ89" s="256"/>
      <c r="BA89" s="256"/>
      <c r="BB89" s="256"/>
      <c r="BC89" s="256"/>
      <c r="BD89" s="256"/>
      <c r="BE89" s="256"/>
      <c r="BF89" s="256">
        <v>27</v>
      </c>
      <c r="BG89" s="256">
        <f t="shared" si="57"/>
        <v>54829.730249999993</v>
      </c>
      <c r="BH89" s="256"/>
      <c r="BI89" s="256"/>
      <c r="BJ89" s="256"/>
      <c r="BK89" s="256"/>
      <c r="BL89" s="256">
        <f t="shared" si="58"/>
        <v>18276.576750000004</v>
      </c>
      <c r="BM89" s="256">
        <f t="shared" si="40"/>
        <v>313651.30475000001</v>
      </c>
      <c r="BN89" s="182"/>
      <c r="BO89" s="182"/>
    </row>
    <row r="90" spans="1:67" s="186" customFormat="1" ht="72.75" customHeight="1">
      <c r="A90" s="255" t="s">
        <v>127</v>
      </c>
      <c r="B90" s="255" t="s">
        <v>103</v>
      </c>
      <c r="C90" s="255" t="s">
        <v>128</v>
      </c>
      <c r="D90" s="255" t="s">
        <v>129</v>
      </c>
      <c r="E90" s="255" t="s">
        <v>125</v>
      </c>
      <c r="F90" s="255" t="s">
        <v>126</v>
      </c>
      <c r="G90" s="255">
        <v>4.59</v>
      </c>
      <c r="H90" s="256">
        <f t="shared" si="23"/>
        <v>121843.845</v>
      </c>
      <c r="I90" s="256">
        <v>2</v>
      </c>
      <c r="J90" s="256">
        <v>15</v>
      </c>
      <c r="K90" s="256">
        <v>3</v>
      </c>
      <c r="L90" s="256">
        <f t="shared" si="53"/>
        <v>13538.205</v>
      </c>
      <c r="M90" s="256">
        <f t="shared" si="54"/>
        <v>101536.53750000001</v>
      </c>
      <c r="N90" s="256">
        <f t="shared" si="55"/>
        <v>20307.307499999999</v>
      </c>
      <c r="O90" s="256" t="s">
        <v>401</v>
      </c>
      <c r="P90" s="256"/>
      <c r="Q90" s="256">
        <f>17697*60%</f>
        <v>10618.199999999999</v>
      </c>
      <c r="R90" s="256"/>
      <c r="S90" s="257"/>
      <c r="T90" s="257"/>
      <c r="U90" s="257">
        <v>15</v>
      </c>
      <c r="V90" s="257"/>
      <c r="W90" s="257"/>
      <c r="X90" s="257"/>
      <c r="Y90" s="257">
        <v>3</v>
      </c>
      <c r="Z90" s="257"/>
      <c r="AA90" s="257"/>
      <c r="AB90" s="257"/>
      <c r="AC90" s="257">
        <f t="shared" si="43"/>
        <v>0</v>
      </c>
      <c r="AD90" s="257">
        <f t="shared" si="44"/>
        <v>0</v>
      </c>
      <c r="AE90" s="257">
        <f t="shared" si="45"/>
        <v>2949.5</v>
      </c>
      <c r="AF90" s="257">
        <f t="shared" si="46"/>
        <v>0</v>
      </c>
      <c r="AG90" s="257">
        <f t="shared" si="47"/>
        <v>0</v>
      </c>
      <c r="AH90" s="257">
        <f t="shared" si="48"/>
        <v>0</v>
      </c>
      <c r="AI90" s="257">
        <f t="shared" si="49"/>
        <v>589.9</v>
      </c>
      <c r="AJ90" s="257">
        <f t="shared" si="50"/>
        <v>0</v>
      </c>
      <c r="AK90" s="257">
        <f t="shared" si="51"/>
        <v>0</v>
      </c>
      <c r="AL90" s="256">
        <f t="shared" si="52"/>
        <v>0</v>
      </c>
      <c r="AM90" s="256" t="s">
        <v>402</v>
      </c>
      <c r="AN90" s="256">
        <f>17697*20%</f>
        <v>3539.4</v>
      </c>
      <c r="AO90" s="256">
        <v>8</v>
      </c>
      <c r="AP90" s="256">
        <f t="shared" si="56"/>
        <v>1573.0666666666666</v>
      </c>
      <c r="AQ90" s="256"/>
      <c r="AR90" s="256"/>
      <c r="AS90" s="256"/>
      <c r="AT90" s="256"/>
      <c r="AU90" s="256"/>
      <c r="AV90" s="256"/>
      <c r="AW90" s="256">
        <v>0.3</v>
      </c>
      <c r="AX90" s="261">
        <v>20</v>
      </c>
      <c r="AY90" s="256">
        <f>H90*30%/18*(I90+J90+K90)</f>
        <v>40614.614999999998</v>
      </c>
      <c r="AZ90" s="256"/>
      <c r="BA90" s="256"/>
      <c r="BB90" s="256"/>
      <c r="BC90" s="256"/>
      <c r="BD90" s="256"/>
      <c r="BE90" s="256"/>
      <c r="BF90" s="256">
        <v>20</v>
      </c>
      <c r="BG90" s="256">
        <f t="shared" si="57"/>
        <v>40614.614999999998</v>
      </c>
      <c r="BH90" s="256"/>
      <c r="BI90" s="256"/>
      <c r="BJ90" s="256"/>
      <c r="BK90" s="256"/>
      <c r="BL90" s="256">
        <f t="shared" si="58"/>
        <v>13538.205000000002</v>
      </c>
      <c r="BM90" s="256">
        <f t="shared" si="40"/>
        <v>249419.5516666667</v>
      </c>
      <c r="BN90" s="182"/>
      <c r="BO90" s="182"/>
    </row>
    <row r="91" spans="1:67" s="186" customFormat="1" ht="72.75" customHeight="1">
      <c r="A91" s="255" t="s">
        <v>403</v>
      </c>
      <c r="B91" s="255" t="s">
        <v>103</v>
      </c>
      <c r="C91" s="255" t="s">
        <v>404</v>
      </c>
      <c r="D91" s="255" t="s">
        <v>129</v>
      </c>
      <c r="E91" s="255" t="s">
        <v>125</v>
      </c>
      <c r="F91" s="255" t="s">
        <v>126</v>
      </c>
      <c r="G91" s="255">
        <v>4.59</v>
      </c>
      <c r="H91" s="256">
        <f t="shared" si="23"/>
        <v>121843.845</v>
      </c>
      <c r="I91" s="256">
        <v>2</v>
      </c>
      <c r="J91" s="256">
        <v>15</v>
      </c>
      <c r="K91" s="256">
        <v>6</v>
      </c>
      <c r="L91" s="256">
        <f t="shared" si="53"/>
        <v>13538.205</v>
      </c>
      <c r="M91" s="256">
        <f t="shared" si="54"/>
        <v>101536.53750000001</v>
      </c>
      <c r="N91" s="256">
        <f t="shared" si="55"/>
        <v>40614.614999999998</v>
      </c>
      <c r="O91" s="256" t="s">
        <v>405</v>
      </c>
      <c r="P91" s="256"/>
      <c r="Q91" s="256">
        <f>17697*60%</f>
        <v>10618.199999999999</v>
      </c>
      <c r="R91" s="256"/>
      <c r="S91" s="257"/>
      <c r="T91" s="257"/>
      <c r="U91" s="257">
        <v>15</v>
      </c>
      <c r="V91" s="257"/>
      <c r="W91" s="257"/>
      <c r="X91" s="257"/>
      <c r="Y91" s="257">
        <v>6</v>
      </c>
      <c r="Z91" s="257"/>
      <c r="AA91" s="257"/>
      <c r="AB91" s="257"/>
      <c r="AC91" s="257">
        <f t="shared" si="43"/>
        <v>0</v>
      </c>
      <c r="AD91" s="257">
        <f t="shared" si="44"/>
        <v>0</v>
      </c>
      <c r="AE91" s="257">
        <f t="shared" si="45"/>
        <v>2949.5</v>
      </c>
      <c r="AF91" s="257">
        <f t="shared" si="46"/>
        <v>0</v>
      </c>
      <c r="AG91" s="257">
        <f t="shared" si="47"/>
        <v>0</v>
      </c>
      <c r="AH91" s="257">
        <f t="shared" si="48"/>
        <v>0</v>
      </c>
      <c r="AI91" s="257">
        <f t="shared" si="49"/>
        <v>1179.8</v>
      </c>
      <c r="AJ91" s="257">
        <f t="shared" si="50"/>
        <v>0</v>
      </c>
      <c r="AK91" s="257">
        <f t="shared" si="51"/>
        <v>0</v>
      </c>
      <c r="AL91" s="256">
        <f t="shared" si="52"/>
        <v>0</v>
      </c>
      <c r="AM91" s="256"/>
      <c r="AN91" s="256"/>
      <c r="AO91" s="256">
        <v>20</v>
      </c>
      <c r="AP91" s="256">
        <f t="shared" si="56"/>
        <v>3932.6666666666665</v>
      </c>
      <c r="AQ91" s="256"/>
      <c r="AR91" s="256"/>
      <c r="AS91" s="256"/>
      <c r="AT91" s="256"/>
      <c r="AU91" s="256"/>
      <c r="AV91" s="256"/>
      <c r="AW91" s="256">
        <v>0.3</v>
      </c>
      <c r="AX91" s="261">
        <v>23</v>
      </c>
      <c r="AY91" s="256">
        <f>H91*30%/18*(I91+J91+K91)</f>
        <v>46706.807249999998</v>
      </c>
      <c r="AZ91" s="256"/>
      <c r="BA91" s="256"/>
      <c r="BB91" s="256"/>
      <c r="BC91" s="256"/>
      <c r="BD91" s="256"/>
      <c r="BE91" s="256"/>
      <c r="BF91" s="256">
        <v>23</v>
      </c>
      <c r="BG91" s="256">
        <f t="shared" si="57"/>
        <v>46706.807250000005</v>
      </c>
      <c r="BH91" s="256"/>
      <c r="BI91" s="256"/>
      <c r="BJ91" s="256"/>
      <c r="BK91" s="256"/>
      <c r="BL91" s="256">
        <f t="shared" si="58"/>
        <v>15568.935750000002</v>
      </c>
      <c r="BM91" s="256">
        <f t="shared" si="40"/>
        <v>283352.0744166667</v>
      </c>
      <c r="BN91" s="182"/>
      <c r="BO91" s="182"/>
    </row>
    <row r="92" spans="1:67" s="186" customFormat="1" ht="72.75" customHeight="1">
      <c r="A92" s="255" t="s">
        <v>406</v>
      </c>
      <c r="B92" s="255" t="s">
        <v>103</v>
      </c>
      <c r="C92" s="255" t="s">
        <v>142</v>
      </c>
      <c r="D92" s="255" t="s">
        <v>115</v>
      </c>
      <c r="E92" s="255" t="s">
        <v>125</v>
      </c>
      <c r="F92" s="255" t="s">
        <v>126</v>
      </c>
      <c r="G92" s="255">
        <v>4.59</v>
      </c>
      <c r="H92" s="256">
        <f t="shared" si="23"/>
        <v>121843.845</v>
      </c>
      <c r="I92" s="256"/>
      <c r="J92" s="256">
        <v>20</v>
      </c>
      <c r="K92" s="256"/>
      <c r="L92" s="256">
        <f t="shared" si="53"/>
        <v>0</v>
      </c>
      <c r="M92" s="256">
        <f t="shared" si="54"/>
        <v>135382.04999999999</v>
      </c>
      <c r="N92" s="256">
        <f t="shared" si="55"/>
        <v>0</v>
      </c>
      <c r="O92" s="256" t="s">
        <v>407</v>
      </c>
      <c r="P92" s="256"/>
      <c r="Q92" s="256">
        <f>17697*60%</f>
        <v>10618.199999999999</v>
      </c>
      <c r="R92" s="256"/>
      <c r="S92" s="257"/>
      <c r="T92" s="257"/>
      <c r="U92" s="257"/>
      <c r="V92" s="257"/>
      <c r="W92" s="257"/>
      <c r="X92" s="257">
        <v>20</v>
      </c>
      <c r="Y92" s="257"/>
      <c r="Z92" s="257"/>
      <c r="AA92" s="257"/>
      <c r="AB92" s="257"/>
      <c r="AC92" s="257">
        <f t="shared" si="43"/>
        <v>0</v>
      </c>
      <c r="AD92" s="257">
        <f t="shared" si="44"/>
        <v>0</v>
      </c>
      <c r="AE92" s="257">
        <f t="shared" si="45"/>
        <v>0</v>
      </c>
      <c r="AF92" s="257">
        <f t="shared" si="46"/>
        <v>0</v>
      </c>
      <c r="AG92" s="257">
        <f t="shared" si="47"/>
        <v>0</v>
      </c>
      <c r="AH92" s="257">
        <f t="shared" si="48"/>
        <v>9831.6666666666661</v>
      </c>
      <c r="AI92" s="257">
        <f t="shared" si="49"/>
        <v>0</v>
      </c>
      <c r="AJ92" s="257">
        <f t="shared" si="50"/>
        <v>0</v>
      </c>
      <c r="AK92" s="257">
        <f t="shared" si="51"/>
        <v>0</v>
      </c>
      <c r="AL92" s="256">
        <f t="shared" si="52"/>
        <v>0</v>
      </c>
      <c r="AM92" s="256"/>
      <c r="AN92" s="256"/>
      <c r="AO92" s="256">
        <v>5</v>
      </c>
      <c r="AP92" s="256">
        <f t="shared" si="56"/>
        <v>983.16666666666663</v>
      </c>
      <c r="AQ92" s="256"/>
      <c r="AR92" s="256"/>
      <c r="AS92" s="256"/>
      <c r="AT92" s="256"/>
      <c r="AU92" s="256"/>
      <c r="AV92" s="256"/>
      <c r="AW92" s="256">
        <v>0.3</v>
      </c>
      <c r="AX92" s="261">
        <v>20</v>
      </c>
      <c r="AY92" s="256">
        <f>H92*30%/18*(I92+J92+K92)</f>
        <v>40614.614999999998</v>
      </c>
      <c r="AZ92" s="256"/>
      <c r="BA92" s="256"/>
      <c r="BB92" s="256"/>
      <c r="BC92" s="256"/>
      <c r="BD92" s="256"/>
      <c r="BE92" s="256"/>
      <c r="BF92" s="256">
        <v>20</v>
      </c>
      <c r="BG92" s="256">
        <f t="shared" si="57"/>
        <v>40614.614999999998</v>
      </c>
      <c r="BH92" s="256"/>
      <c r="BI92" s="256"/>
      <c r="BJ92" s="256"/>
      <c r="BK92" s="256"/>
      <c r="BL92" s="256">
        <f t="shared" si="58"/>
        <v>13538.205</v>
      </c>
      <c r="BM92" s="256">
        <f t="shared" si="40"/>
        <v>251582.51833333328</v>
      </c>
      <c r="BN92" s="182"/>
      <c r="BO92" s="182"/>
    </row>
    <row r="93" spans="1:67" s="279" customFormat="1" ht="72.75" customHeight="1">
      <c r="A93" s="276" t="s">
        <v>408</v>
      </c>
      <c r="B93" s="276" t="s">
        <v>103</v>
      </c>
      <c r="C93" s="276" t="s">
        <v>142</v>
      </c>
      <c r="D93" s="276" t="s">
        <v>374</v>
      </c>
      <c r="E93" s="276" t="s">
        <v>125</v>
      </c>
      <c r="F93" s="276" t="s">
        <v>126</v>
      </c>
      <c r="G93" s="276">
        <v>4.59</v>
      </c>
      <c r="H93" s="260">
        <f t="shared" si="23"/>
        <v>121843.845</v>
      </c>
      <c r="I93" s="260"/>
      <c r="J93" s="260">
        <v>18</v>
      </c>
      <c r="K93" s="260"/>
      <c r="L93" s="260">
        <f t="shared" si="53"/>
        <v>0</v>
      </c>
      <c r="M93" s="260">
        <f t="shared" si="54"/>
        <v>121843.845</v>
      </c>
      <c r="N93" s="260">
        <f t="shared" si="55"/>
        <v>0</v>
      </c>
      <c r="O93" s="260" t="s">
        <v>298</v>
      </c>
      <c r="P93" s="260"/>
      <c r="Q93" s="260">
        <f>17697*60%</f>
        <v>10618.199999999999</v>
      </c>
      <c r="R93" s="260"/>
      <c r="S93" s="277"/>
      <c r="T93" s="277"/>
      <c r="U93" s="277"/>
      <c r="V93" s="277">
        <v>15</v>
      </c>
      <c r="W93" s="277"/>
      <c r="X93" s="277"/>
      <c r="Y93" s="277"/>
      <c r="Z93" s="277"/>
      <c r="AA93" s="277"/>
      <c r="AB93" s="277"/>
      <c r="AC93" s="277">
        <f t="shared" si="43"/>
        <v>0</v>
      </c>
      <c r="AD93" s="277">
        <f t="shared" si="44"/>
        <v>0</v>
      </c>
      <c r="AE93" s="277">
        <f t="shared" si="45"/>
        <v>0</v>
      </c>
      <c r="AF93" s="277">
        <f t="shared" si="46"/>
        <v>5899</v>
      </c>
      <c r="AG93" s="277">
        <f t="shared" si="47"/>
        <v>0</v>
      </c>
      <c r="AH93" s="277">
        <f t="shared" si="48"/>
        <v>0</v>
      </c>
      <c r="AI93" s="277">
        <f t="shared" si="49"/>
        <v>0</v>
      </c>
      <c r="AJ93" s="277">
        <f t="shared" si="50"/>
        <v>0</v>
      </c>
      <c r="AK93" s="277">
        <f t="shared" si="51"/>
        <v>0</v>
      </c>
      <c r="AL93" s="260">
        <f t="shared" si="52"/>
        <v>0</v>
      </c>
      <c r="AM93" s="260"/>
      <c r="AN93" s="260"/>
      <c r="AO93" s="260"/>
      <c r="AP93" s="260">
        <f t="shared" si="56"/>
        <v>0</v>
      </c>
      <c r="AQ93" s="256"/>
      <c r="AR93" s="256"/>
      <c r="AS93" s="260"/>
      <c r="AT93" s="260"/>
      <c r="AU93" s="260"/>
      <c r="AV93" s="260"/>
      <c r="AW93" s="260"/>
      <c r="AX93" s="260">
        <v>18</v>
      </c>
      <c r="AY93" s="260">
        <f t="shared" ref="AY93:AY94" si="59">H93*30%/18*(I93+J93+K93)</f>
        <v>36553.1535</v>
      </c>
      <c r="AZ93" s="260"/>
      <c r="BA93" s="260"/>
      <c r="BB93" s="260"/>
      <c r="BC93" s="260"/>
      <c r="BD93" s="260"/>
      <c r="BE93" s="260"/>
      <c r="BF93" s="260">
        <v>18</v>
      </c>
      <c r="BG93" s="260">
        <f t="shared" si="57"/>
        <v>36553.1535</v>
      </c>
      <c r="BH93" s="260"/>
      <c r="BI93" s="260"/>
      <c r="BJ93" s="260">
        <v>5</v>
      </c>
      <c r="BK93" s="260">
        <f t="shared" ref="BK93:BK131" si="60">17697*40%/18*BJ93</f>
        <v>1966.3333333333333</v>
      </c>
      <c r="BL93" s="260">
        <f t="shared" si="58"/>
        <v>12184.3845</v>
      </c>
      <c r="BM93" s="260">
        <f t="shared" si="40"/>
        <v>225618.06983333337</v>
      </c>
      <c r="BN93" s="278"/>
      <c r="BO93" s="278"/>
    </row>
    <row r="94" spans="1:67" s="279" customFormat="1" ht="72.75" customHeight="1">
      <c r="A94" s="276" t="s">
        <v>409</v>
      </c>
      <c r="B94" s="276" t="s">
        <v>103</v>
      </c>
      <c r="C94" s="276" t="s">
        <v>147</v>
      </c>
      <c r="D94" s="276" t="s">
        <v>308</v>
      </c>
      <c r="E94" s="276" t="s">
        <v>125</v>
      </c>
      <c r="F94" s="276" t="s">
        <v>126</v>
      </c>
      <c r="G94" s="280">
        <v>4.4400000000000004</v>
      </c>
      <c r="H94" s="260">
        <f t="shared" si="23"/>
        <v>117862.02000000002</v>
      </c>
      <c r="I94" s="260"/>
      <c r="J94" s="260">
        <v>16</v>
      </c>
      <c r="K94" s="260">
        <v>8</v>
      </c>
      <c r="L94" s="260">
        <f t="shared" si="53"/>
        <v>0</v>
      </c>
      <c r="M94" s="260">
        <f t="shared" si="54"/>
        <v>104766.24000000002</v>
      </c>
      <c r="N94" s="260">
        <f t="shared" si="55"/>
        <v>52383.12000000001</v>
      </c>
      <c r="O94" s="260" t="s">
        <v>410</v>
      </c>
      <c r="P94" s="260"/>
      <c r="Q94" s="260">
        <f>17697*60%</f>
        <v>10618.199999999999</v>
      </c>
      <c r="R94" s="260"/>
      <c r="S94" s="277"/>
      <c r="T94" s="277"/>
      <c r="U94" s="277"/>
      <c r="V94" s="277"/>
      <c r="W94" s="277"/>
      <c r="X94" s="277"/>
      <c r="Y94" s="277"/>
      <c r="Z94" s="277"/>
      <c r="AA94" s="277"/>
      <c r="AB94" s="277"/>
      <c r="AC94" s="277">
        <f t="shared" si="43"/>
        <v>0</v>
      </c>
      <c r="AD94" s="277">
        <f t="shared" si="44"/>
        <v>0</v>
      </c>
      <c r="AE94" s="277">
        <f t="shared" si="45"/>
        <v>0</v>
      </c>
      <c r="AF94" s="277">
        <f t="shared" si="46"/>
        <v>0</v>
      </c>
      <c r="AG94" s="277">
        <f t="shared" si="47"/>
        <v>0</v>
      </c>
      <c r="AH94" s="277">
        <f t="shared" si="48"/>
        <v>0</v>
      </c>
      <c r="AI94" s="277">
        <f t="shared" si="49"/>
        <v>0</v>
      </c>
      <c r="AJ94" s="277">
        <f t="shared" si="50"/>
        <v>0</v>
      </c>
      <c r="AK94" s="277">
        <f t="shared" si="51"/>
        <v>0</v>
      </c>
      <c r="AL94" s="260">
        <f t="shared" si="52"/>
        <v>0</v>
      </c>
      <c r="AM94" s="260"/>
      <c r="AN94" s="260"/>
      <c r="AO94" s="260">
        <v>16</v>
      </c>
      <c r="AP94" s="260">
        <f t="shared" si="56"/>
        <v>3146.1333333333332</v>
      </c>
      <c r="AQ94" s="256"/>
      <c r="AR94" s="256"/>
      <c r="AS94" s="260"/>
      <c r="AT94" s="260"/>
      <c r="AU94" s="260"/>
      <c r="AV94" s="260"/>
      <c r="AW94" s="260"/>
      <c r="AX94" s="260">
        <v>24</v>
      </c>
      <c r="AY94" s="260">
        <f t="shared" si="59"/>
        <v>47144.808000000012</v>
      </c>
      <c r="AZ94" s="260"/>
      <c r="BA94" s="260"/>
      <c r="BB94" s="260"/>
      <c r="BC94" s="260"/>
      <c r="BD94" s="260"/>
      <c r="BE94" s="260"/>
      <c r="BF94" s="260">
        <v>24</v>
      </c>
      <c r="BG94" s="260">
        <f t="shared" si="57"/>
        <v>47144.808000000012</v>
      </c>
      <c r="BH94" s="260"/>
      <c r="BI94" s="260"/>
      <c r="BJ94" s="260">
        <v>5</v>
      </c>
      <c r="BK94" s="260">
        <f t="shared" si="60"/>
        <v>1966.3333333333333</v>
      </c>
      <c r="BL94" s="260">
        <f t="shared" si="58"/>
        <v>15714.936000000005</v>
      </c>
      <c r="BM94" s="260">
        <f t="shared" si="40"/>
        <v>282884.5786666667</v>
      </c>
      <c r="BN94" s="278"/>
      <c r="BO94" s="278"/>
    </row>
    <row r="95" spans="1:67" s="279" customFormat="1" ht="72.75" customHeight="1">
      <c r="A95" s="276" t="s">
        <v>411</v>
      </c>
      <c r="B95" s="276" t="s">
        <v>103</v>
      </c>
      <c r="C95" s="276" t="s">
        <v>412</v>
      </c>
      <c r="D95" s="276" t="s">
        <v>115</v>
      </c>
      <c r="E95" s="276" t="s">
        <v>125</v>
      </c>
      <c r="F95" s="276" t="s">
        <v>126</v>
      </c>
      <c r="G95" s="280">
        <v>4.3600000000000003</v>
      </c>
      <c r="H95" s="260">
        <f t="shared" si="23"/>
        <v>115738.38000000002</v>
      </c>
      <c r="I95" s="260"/>
      <c r="J95" s="260">
        <v>9</v>
      </c>
      <c r="K95" s="260"/>
      <c r="L95" s="260">
        <f t="shared" si="53"/>
        <v>0</v>
      </c>
      <c r="M95" s="260">
        <f t="shared" si="54"/>
        <v>57869.19000000001</v>
      </c>
      <c r="N95" s="260">
        <f t="shared" si="55"/>
        <v>0</v>
      </c>
      <c r="O95" s="260"/>
      <c r="P95" s="260"/>
      <c r="Q95" s="260"/>
      <c r="R95" s="260"/>
      <c r="S95" s="277"/>
      <c r="T95" s="277"/>
      <c r="U95" s="277"/>
      <c r="V95" s="277"/>
      <c r="W95" s="277"/>
      <c r="X95" s="277">
        <v>5</v>
      </c>
      <c r="Y95" s="277"/>
      <c r="Z95" s="277"/>
      <c r="AA95" s="277"/>
      <c r="AB95" s="277"/>
      <c r="AC95" s="277">
        <f t="shared" si="43"/>
        <v>0</v>
      </c>
      <c r="AD95" s="277">
        <f t="shared" si="44"/>
        <v>0</v>
      </c>
      <c r="AE95" s="277">
        <f t="shared" si="45"/>
        <v>0</v>
      </c>
      <c r="AF95" s="277">
        <f t="shared" si="46"/>
        <v>0</v>
      </c>
      <c r="AG95" s="277">
        <f t="shared" si="47"/>
        <v>0</v>
      </c>
      <c r="AH95" s="277">
        <f t="shared" si="48"/>
        <v>2457.9166666666665</v>
      </c>
      <c r="AI95" s="277">
        <f t="shared" si="49"/>
        <v>0</v>
      </c>
      <c r="AJ95" s="277">
        <f t="shared" si="50"/>
        <v>0</v>
      </c>
      <c r="AK95" s="277">
        <f t="shared" si="51"/>
        <v>0</v>
      </c>
      <c r="AL95" s="260">
        <f t="shared" si="52"/>
        <v>0</v>
      </c>
      <c r="AM95" s="260"/>
      <c r="AN95" s="260"/>
      <c r="AO95" s="260"/>
      <c r="AP95" s="260">
        <f t="shared" si="56"/>
        <v>0</v>
      </c>
      <c r="AQ95" s="256"/>
      <c r="AR95" s="256"/>
      <c r="AS95" s="260"/>
      <c r="AT95" s="260"/>
      <c r="AU95" s="260"/>
      <c r="AV95" s="260"/>
      <c r="AW95" s="260"/>
      <c r="AX95" s="260">
        <v>9</v>
      </c>
      <c r="AY95" s="260">
        <f>H95*30%/18*(I95+J95+K95)</f>
        <v>17360.757000000001</v>
      </c>
      <c r="AZ95" s="260"/>
      <c r="BA95" s="260"/>
      <c r="BB95" s="260"/>
      <c r="BC95" s="260"/>
      <c r="BD95" s="260"/>
      <c r="BE95" s="260"/>
      <c r="BF95" s="260">
        <v>9</v>
      </c>
      <c r="BG95" s="260">
        <f t="shared" si="57"/>
        <v>17360.757000000001</v>
      </c>
      <c r="BH95" s="260"/>
      <c r="BI95" s="260"/>
      <c r="BJ95" s="260"/>
      <c r="BK95" s="260">
        <f t="shared" si="60"/>
        <v>0</v>
      </c>
      <c r="BL95" s="260">
        <f t="shared" si="58"/>
        <v>5786.9190000000017</v>
      </c>
      <c r="BM95" s="260">
        <f t="shared" si="40"/>
        <v>100835.53966666668</v>
      </c>
      <c r="BN95" s="278"/>
      <c r="BO95" s="278"/>
    </row>
    <row r="96" spans="1:67" s="186" customFormat="1" ht="72.75" customHeight="1">
      <c r="A96" s="255" t="s">
        <v>413</v>
      </c>
      <c r="B96" s="255" t="s">
        <v>103</v>
      </c>
      <c r="C96" s="255" t="s">
        <v>414</v>
      </c>
      <c r="D96" s="255" t="s">
        <v>109</v>
      </c>
      <c r="E96" s="255" t="s">
        <v>133</v>
      </c>
      <c r="F96" s="255" t="s">
        <v>134</v>
      </c>
      <c r="G96" s="255">
        <v>4.7300000000000004</v>
      </c>
      <c r="H96" s="256">
        <f t="shared" si="23"/>
        <v>125560.21500000003</v>
      </c>
      <c r="I96" s="260">
        <v>8</v>
      </c>
      <c r="J96" s="260">
        <v>12</v>
      </c>
      <c r="K96" s="260">
        <v>2</v>
      </c>
      <c r="L96" s="256">
        <f t="shared" si="53"/>
        <v>55804.540000000008</v>
      </c>
      <c r="M96" s="256">
        <f t="shared" si="54"/>
        <v>83706.810000000012</v>
      </c>
      <c r="N96" s="256">
        <f t="shared" si="55"/>
        <v>13951.135000000002</v>
      </c>
      <c r="O96" s="256"/>
      <c r="P96" s="256"/>
      <c r="Q96" s="256"/>
      <c r="R96" s="256"/>
      <c r="S96" s="257">
        <v>8</v>
      </c>
      <c r="T96" s="257"/>
      <c r="U96" s="257"/>
      <c r="V96" s="257"/>
      <c r="W96" s="257">
        <v>12</v>
      </c>
      <c r="X96" s="257"/>
      <c r="Y96" s="257"/>
      <c r="Z96" s="257"/>
      <c r="AA96" s="257">
        <v>2</v>
      </c>
      <c r="AB96" s="257"/>
      <c r="AC96" s="257">
        <f t="shared" si="43"/>
        <v>1966.3333333333333</v>
      </c>
      <c r="AD96" s="257">
        <f t="shared" si="44"/>
        <v>0</v>
      </c>
      <c r="AE96" s="257">
        <f t="shared" si="45"/>
        <v>0</v>
      </c>
      <c r="AF96" s="257">
        <f t="shared" si="46"/>
        <v>0</v>
      </c>
      <c r="AG96" s="257">
        <f t="shared" si="47"/>
        <v>2949.5</v>
      </c>
      <c r="AH96" s="257">
        <f t="shared" si="48"/>
        <v>0</v>
      </c>
      <c r="AI96" s="257">
        <f t="shared" si="49"/>
        <v>0</v>
      </c>
      <c r="AJ96" s="257">
        <f t="shared" si="50"/>
        <v>0</v>
      </c>
      <c r="AK96" s="257">
        <f t="shared" si="51"/>
        <v>491.58333333333331</v>
      </c>
      <c r="AL96" s="256">
        <f t="shared" si="52"/>
        <v>0</v>
      </c>
      <c r="AM96" s="256"/>
      <c r="AN96" s="256"/>
      <c r="AO96" s="256">
        <v>7</v>
      </c>
      <c r="AP96" s="256">
        <f t="shared" si="56"/>
        <v>1376.4333333333334</v>
      </c>
      <c r="AQ96" s="256"/>
      <c r="AR96" s="256"/>
      <c r="AS96" s="256"/>
      <c r="AT96" s="256"/>
      <c r="AU96" s="256"/>
      <c r="AV96" s="256"/>
      <c r="AW96" s="256"/>
      <c r="AX96" s="256"/>
      <c r="AY96" s="256"/>
      <c r="AZ96" s="256"/>
      <c r="BA96" s="256"/>
      <c r="BB96" s="256"/>
      <c r="BC96" s="256"/>
      <c r="BD96" s="256"/>
      <c r="BE96" s="256"/>
      <c r="BF96" s="256">
        <v>22</v>
      </c>
      <c r="BG96" s="256">
        <f t="shared" si="57"/>
        <v>46038.745500000005</v>
      </c>
      <c r="BH96" s="256"/>
      <c r="BI96" s="256"/>
      <c r="BJ96" s="256">
        <v>4</v>
      </c>
      <c r="BK96" s="256">
        <f t="shared" si="60"/>
        <v>1573.0666666666666</v>
      </c>
      <c r="BL96" s="256">
        <f t="shared" si="58"/>
        <v>15346.248500000005</v>
      </c>
      <c r="BM96" s="256">
        <f t="shared" si="40"/>
        <v>223204.39566666674</v>
      </c>
      <c r="BN96" s="182"/>
      <c r="BO96" s="182"/>
    </row>
    <row r="97" spans="1:67" s="186" customFormat="1" ht="72.75" customHeight="1">
      <c r="A97" s="255" t="s">
        <v>130</v>
      </c>
      <c r="B97" s="255" t="s">
        <v>103</v>
      </c>
      <c r="C97" s="255" t="s">
        <v>131</v>
      </c>
      <c r="D97" s="255" t="s">
        <v>132</v>
      </c>
      <c r="E97" s="255" t="s">
        <v>133</v>
      </c>
      <c r="F97" s="255" t="s">
        <v>134</v>
      </c>
      <c r="G97" s="255">
        <v>4.7300000000000004</v>
      </c>
      <c r="H97" s="256">
        <f t="shared" si="23"/>
        <v>125560.21500000003</v>
      </c>
      <c r="I97" s="260"/>
      <c r="J97" s="260">
        <v>15</v>
      </c>
      <c r="K97" s="260">
        <v>10</v>
      </c>
      <c r="L97" s="256">
        <f t="shared" si="53"/>
        <v>0</v>
      </c>
      <c r="M97" s="256">
        <f t="shared" si="54"/>
        <v>104633.51250000001</v>
      </c>
      <c r="N97" s="256">
        <f t="shared" si="55"/>
        <v>69755.675000000017</v>
      </c>
      <c r="O97" s="256"/>
      <c r="P97" s="256"/>
      <c r="Q97" s="256"/>
      <c r="R97" s="256"/>
      <c r="S97" s="257"/>
      <c r="T97" s="257"/>
      <c r="U97" s="257"/>
      <c r="V97" s="257">
        <v>15</v>
      </c>
      <c r="W97" s="257"/>
      <c r="X97" s="257"/>
      <c r="Y97" s="257"/>
      <c r="Z97" s="257">
        <v>8</v>
      </c>
      <c r="AA97" s="257"/>
      <c r="AB97" s="257"/>
      <c r="AC97" s="257">
        <f t="shared" si="43"/>
        <v>0</v>
      </c>
      <c r="AD97" s="257">
        <f t="shared" si="44"/>
        <v>0</v>
      </c>
      <c r="AE97" s="257">
        <f t="shared" si="45"/>
        <v>0</v>
      </c>
      <c r="AF97" s="257">
        <f t="shared" si="46"/>
        <v>5899</v>
      </c>
      <c r="AG97" s="257">
        <f t="shared" si="47"/>
        <v>0</v>
      </c>
      <c r="AH97" s="257">
        <f t="shared" si="48"/>
        <v>0</v>
      </c>
      <c r="AI97" s="257">
        <f t="shared" si="49"/>
        <v>0</v>
      </c>
      <c r="AJ97" s="257">
        <f t="shared" si="50"/>
        <v>3146.1333333333332</v>
      </c>
      <c r="AK97" s="257">
        <f t="shared" si="51"/>
        <v>0</v>
      </c>
      <c r="AL97" s="256">
        <f t="shared" si="52"/>
        <v>0</v>
      </c>
      <c r="AM97" s="256"/>
      <c r="AN97" s="256"/>
      <c r="AO97" s="256">
        <v>14</v>
      </c>
      <c r="AP97" s="256">
        <f t="shared" si="56"/>
        <v>2752.8666666666668</v>
      </c>
      <c r="AQ97" s="256"/>
      <c r="AR97" s="256"/>
      <c r="AS97" s="256"/>
      <c r="AT97" s="256"/>
      <c r="AU97" s="256"/>
      <c r="AV97" s="256"/>
      <c r="AW97" s="256"/>
      <c r="AX97" s="256"/>
      <c r="AY97" s="256"/>
      <c r="AZ97" s="256"/>
      <c r="BA97" s="256"/>
      <c r="BB97" s="256"/>
      <c r="BC97" s="256"/>
      <c r="BD97" s="256"/>
      <c r="BE97" s="256"/>
      <c r="BF97" s="256">
        <v>25</v>
      </c>
      <c r="BG97" s="256">
        <f t="shared" si="57"/>
        <v>52316.756250000006</v>
      </c>
      <c r="BH97" s="256"/>
      <c r="BI97" s="256"/>
      <c r="BJ97" s="256">
        <v>5</v>
      </c>
      <c r="BK97" s="256">
        <f t="shared" si="60"/>
        <v>1966.3333333333333</v>
      </c>
      <c r="BL97" s="256">
        <f t="shared" si="58"/>
        <v>17438.918750000004</v>
      </c>
      <c r="BM97" s="256">
        <f t="shared" si="40"/>
        <v>257909.19583333339</v>
      </c>
      <c r="BN97" s="182"/>
      <c r="BO97" s="182"/>
    </row>
    <row r="98" spans="1:67" s="186" customFormat="1" ht="72.75" customHeight="1">
      <c r="A98" s="255" t="s">
        <v>415</v>
      </c>
      <c r="B98" s="255" t="s">
        <v>103</v>
      </c>
      <c r="C98" s="255" t="s">
        <v>256</v>
      </c>
      <c r="D98" s="255" t="s">
        <v>105</v>
      </c>
      <c r="E98" s="255" t="s">
        <v>133</v>
      </c>
      <c r="F98" s="255" t="s">
        <v>134</v>
      </c>
      <c r="G98" s="255">
        <v>4.7300000000000004</v>
      </c>
      <c r="H98" s="256">
        <f t="shared" si="23"/>
        <v>125560.21500000003</v>
      </c>
      <c r="I98" s="260"/>
      <c r="J98" s="260">
        <v>14</v>
      </c>
      <c r="K98" s="260"/>
      <c r="L98" s="256">
        <f t="shared" si="53"/>
        <v>0</v>
      </c>
      <c r="M98" s="256">
        <f t="shared" si="54"/>
        <v>97657.945000000007</v>
      </c>
      <c r="N98" s="256">
        <f t="shared" si="55"/>
        <v>0</v>
      </c>
      <c r="O98" s="256"/>
      <c r="P98" s="256"/>
      <c r="Q98" s="256"/>
      <c r="R98" s="256"/>
      <c r="S98" s="257"/>
      <c r="T98" s="257"/>
      <c r="U98" s="257"/>
      <c r="V98" s="257">
        <v>10</v>
      </c>
      <c r="W98" s="257"/>
      <c r="X98" s="257"/>
      <c r="Y98" s="257"/>
      <c r="Z98" s="257"/>
      <c r="AA98" s="257"/>
      <c r="AB98" s="257"/>
      <c r="AC98" s="257">
        <f t="shared" si="43"/>
        <v>0</v>
      </c>
      <c r="AD98" s="257">
        <f t="shared" si="44"/>
        <v>0</v>
      </c>
      <c r="AE98" s="257">
        <f t="shared" si="45"/>
        <v>0</v>
      </c>
      <c r="AF98" s="257">
        <f t="shared" si="46"/>
        <v>3932.6666666666665</v>
      </c>
      <c r="AG98" s="257">
        <f t="shared" si="47"/>
        <v>0</v>
      </c>
      <c r="AH98" s="257">
        <f t="shared" si="48"/>
        <v>0</v>
      </c>
      <c r="AI98" s="257">
        <f t="shared" si="49"/>
        <v>0</v>
      </c>
      <c r="AJ98" s="257">
        <f t="shared" si="50"/>
        <v>0</v>
      </c>
      <c r="AK98" s="257">
        <f t="shared" si="51"/>
        <v>0</v>
      </c>
      <c r="AL98" s="256">
        <f t="shared" si="52"/>
        <v>0</v>
      </c>
      <c r="AM98" s="256"/>
      <c r="AN98" s="256"/>
      <c r="AO98" s="256"/>
      <c r="AP98" s="256">
        <f t="shared" si="56"/>
        <v>0</v>
      </c>
      <c r="AQ98" s="256"/>
      <c r="AR98" s="256"/>
      <c r="AS98" s="256"/>
      <c r="AT98" s="256"/>
      <c r="AU98" s="256"/>
      <c r="AV98" s="256"/>
      <c r="AW98" s="256"/>
      <c r="AX98" s="256"/>
      <c r="AY98" s="256"/>
      <c r="AZ98" s="256"/>
      <c r="BA98" s="256"/>
      <c r="BB98" s="256"/>
      <c r="BC98" s="256"/>
      <c r="BD98" s="256"/>
      <c r="BE98" s="256"/>
      <c r="BF98" s="256">
        <v>14</v>
      </c>
      <c r="BG98" s="256">
        <f t="shared" si="57"/>
        <v>29297.3835</v>
      </c>
      <c r="BH98" s="256"/>
      <c r="BI98" s="256"/>
      <c r="BJ98" s="256"/>
      <c r="BK98" s="256">
        <f t="shared" si="60"/>
        <v>0</v>
      </c>
      <c r="BL98" s="256">
        <f t="shared" si="58"/>
        <v>9765.7945000000018</v>
      </c>
      <c r="BM98" s="256">
        <f t="shared" si="40"/>
        <v>140653.78966666668</v>
      </c>
      <c r="BN98" s="182"/>
      <c r="BO98" s="182"/>
    </row>
    <row r="99" spans="1:67" s="186" customFormat="1" ht="72.75" customHeight="1">
      <c r="A99" s="255" t="s">
        <v>416</v>
      </c>
      <c r="B99" s="255" t="s">
        <v>103</v>
      </c>
      <c r="C99" s="255" t="s">
        <v>417</v>
      </c>
      <c r="D99" s="255" t="s">
        <v>238</v>
      </c>
      <c r="E99" s="255" t="s">
        <v>133</v>
      </c>
      <c r="F99" s="255" t="s">
        <v>134</v>
      </c>
      <c r="G99" s="255">
        <v>4.59</v>
      </c>
      <c r="H99" s="256">
        <f t="shared" si="23"/>
        <v>121843.845</v>
      </c>
      <c r="I99" s="260">
        <v>4</v>
      </c>
      <c r="J99" s="260">
        <v>3</v>
      </c>
      <c r="K99" s="260">
        <v>2</v>
      </c>
      <c r="L99" s="256">
        <f t="shared" si="53"/>
        <v>27076.41</v>
      </c>
      <c r="M99" s="256">
        <f t="shared" si="54"/>
        <v>20307.307499999999</v>
      </c>
      <c r="N99" s="256">
        <f t="shared" si="55"/>
        <v>13538.205</v>
      </c>
      <c r="O99" s="256"/>
      <c r="P99" s="256"/>
      <c r="Q99" s="256"/>
      <c r="R99" s="256"/>
      <c r="S99" s="257"/>
      <c r="T99" s="257"/>
      <c r="U99" s="257"/>
      <c r="V99" s="257"/>
      <c r="W99" s="257"/>
      <c r="X99" s="257"/>
      <c r="Y99" s="257"/>
      <c r="Z99" s="257"/>
      <c r="AA99" s="257"/>
      <c r="AB99" s="257"/>
      <c r="AC99" s="257">
        <f t="shared" si="43"/>
        <v>0</v>
      </c>
      <c r="AD99" s="257">
        <f t="shared" si="44"/>
        <v>0</v>
      </c>
      <c r="AE99" s="257">
        <f t="shared" si="45"/>
        <v>0</v>
      </c>
      <c r="AF99" s="257">
        <f t="shared" si="46"/>
        <v>0</v>
      </c>
      <c r="AG99" s="257">
        <f t="shared" si="47"/>
        <v>0</v>
      </c>
      <c r="AH99" s="257">
        <f t="shared" si="48"/>
        <v>0</v>
      </c>
      <c r="AI99" s="257">
        <f t="shared" si="49"/>
        <v>0</v>
      </c>
      <c r="AJ99" s="257">
        <f t="shared" si="50"/>
        <v>0</v>
      </c>
      <c r="AK99" s="257">
        <f t="shared" si="51"/>
        <v>0</v>
      </c>
      <c r="AL99" s="256">
        <f t="shared" si="52"/>
        <v>0</v>
      </c>
      <c r="AM99" s="256"/>
      <c r="AN99" s="256"/>
      <c r="AO99" s="256">
        <v>5</v>
      </c>
      <c r="AP99" s="256">
        <f t="shared" si="56"/>
        <v>983.16666666666663</v>
      </c>
      <c r="AQ99" s="256"/>
      <c r="AR99" s="256"/>
      <c r="AS99" s="256"/>
      <c r="AT99" s="256"/>
      <c r="AU99" s="256"/>
      <c r="AV99" s="256"/>
      <c r="AW99" s="256"/>
      <c r="AX99" s="256"/>
      <c r="AY99" s="256"/>
      <c r="AZ99" s="256"/>
      <c r="BA99" s="256"/>
      <c r="BB99" s="256"/>
      <c r="BC99" s="256"/>
      <c r="BD99" s="256"/>
      <c r="BE99" s="256"/>
      <c r="BF99" s="256">
        <v>9</v>
      </c>
      <c r="BG99" s="256">
        <f t="shared" si="57"/>
        <v>18276.57675</v>
      </c>
      <c r="BH99" s="256"/>
      <c r="BI99" s="256"/>
      <c r="BJ99" s="256">
        <v>1</v>
      </c>
      <c r="BK99" s="256">
        <f t="shared" si="60"/>
        <v>393.26666666666665</v>
      </c>
      <c r="BL99" s="256">
        <f t="shared" si="58"/>
        <v>6092.1922500000001</v>
      </c>
      <c r="BM99" s="256">
        <f t="shared" si="40"/>
        <v>86667.124833333335</v>
      </c>
      <c r="BN99" s="182"/>
      <c r="BO99" s="182"/>
    </row>
    <row r="100" spans="1:67" s="186" customFormat="1" ht="72.75" customHeight="1">
      <c r="A100" s="255" t="s">
        <v>418</v>
      </c>
      <c r="B100" s="255" t="s">
        <v>103</v>
      </c>
      <c r="C100" s="255" t="s">
        <v>332</v>
      </c>
      <c r="D100" s="255" t="s">
        <v>249</v>
      </c>
      <c r="E100" s="255" t="s">
        <v>133</v>
      </c>
      <c r="F100" s="255" t="s">
        <v>134</v>
      </c>
      <c r="G100" s="255">
        <v>4.38</v>
      </c>
      <c r="H100" s="256">
        <f t="shared" si="23"/>
        <v>116269.29000000001</v>
      </c>
      <c r="I100" s="256"/>
      <c r="J100" s="260">
        <v>21</v>
      </c>
      <c r="K100" s="260">
        <v>6</v>
      </c>
      <c r="L100" s="256">
        <f t="shared" si="53"/>
        <v>0</v>
      </c>
      <c r="M100" s="256">
        <f t="shared" si="54"/>
        <v>135647.505</v>
      </c>
      <c r="N100" s="256">
        <f t="shared" si="55"/>
        <v>38756.430000000008</v>
      </c>
      <c r="O100" s="256"/>
      <c r="P100" s="256"/>
      <c r="Q100" s="256"/>
      <c r="R100" s="256"/>
      <c r="S100" s="257"/>
      <c r="T100" s="257"/>
      <c r="U100" s="257"/>
      <c r="V100" s="257"/>
      <c r="W100" s="257"/>
      <c r="X100" s="257"/>
      <c r="Y100" s="257"/>
      <c r="Z100" s="257"/>
      <c r="AA100" s="257"/>
      <c r="AB100" s="257"/>
      <c r="AC100" s="257">
        <f t="shared" si="43"/>
        <v>0</v>
      </c>
      <c r="AD100" s="257">
        <f t="shared" si="44"/>
        <v>0</v>
      </c>
      <c r="AE100" s="257">
        <f t="shared" si="45"/>
        <v>0</v>
      </c>
      <c r="AF100" s="257">
        <f t="shared" si="46"/>
        <v>0</v>
      </c>
      <c r="AG100" s="257">
        <f t="shared" si="47"/>
        <v>0</v>
      </c>
      <c r="AH100" s="257">
        <f t="shared" si="48"/>
        <v>0</v>
      </c>
      <c r="AI100" s="257">
        <f t="shared" si="49"/>
        <v>0</v>
      </c>
      <c r="AJ100" s="257">
        <f t="shared" si="50"/>
        <v>0</v>
      </c>
      <c r="AK100" s="257">
        <f t="shared" si="51"/>
        <v>0</v>
      </c>
      <c r="AL100" s="256">
        <f t="shared" si="52"/>
        <v>0</v>
      </c>
      <c r="AM100" s="256"/>
      <c r="AN100" s="256"/>
      <c r="AO100" s="256">
        <v>18</v>
      </c>
      <c r="AP100" s="256">
        <f t="shared" si="56"/>
        <v>3539.3999999999996</v>
      </c>
      <c r="AQ100" s="256"/>
      <c r="AR100" s="256"/>
      <c r="AS100" s="256"/>
      <c r="AT100" s="256"/>
      <c r="AU100" s="256"/>
      <c r="AV100" s="256"/>
      <c r="AW100" s="256"/>
      <c r="AX100" s="256"/>
      <c r="AY100" s="256"/>
      <c r="AZ100" s="256"/>
      <c r="BA100" s="256"/>
      <c r="BB100" s="256"/>
      <c r="BC100" s="256"/>
      <c r="BD100" s="256"/>
      <c r="BE100" s="256"/>
      <c r="BF100" s="256">
        <v>27</v>
      </c>
      <c r="BG100" s="256">
        <f t="shared" si="57"/>
        <v>52321.180500000009</v>
      </c>
      <c r="BH100" s="256"/>
      <c r="BI100" s="256"/>
      <c r="BJ100" s="256">
        <v>6</v>
      </c>
      <c r="BK100" s="256">
        <f t="shared" si="60"/>
        <v>2359.6</v>
      </c>
      <c r="BL100" s="256">
        <f t="shared" si="58"/>
        <v>17440.393500000002</v>
      </c>
      <c r="BM100" s="256">
        <f t="shared" si="40"/>
        <v>250064.50900000002</v>
      </c>
      <c r="BN100" s="182"/>
      <c r="BO100" s="182"/>
    </row>
    <row r="101" spans="1:67" s="186" customFormat="1" ht="72.75" customHeight="1">
      <c r="A101" s="255" t="s">
        <v>419</v>
      </c>
      <c r="B101" s="255" t="s">
        <v>103</v>
      </c>
      <c r="C101" s="255" t="s">
        <v>420</v>
      </c>
      <c r="D101" s="255" t="s">
        <v>238</v>
      </c>
      <c r="E101" s="255" t="s">
        <v>133</v>
      </c>
      <c r="F101" s="255" t="s">
        <v>134</v>
      </c>
      <c r="G101" s="255">
        <v>4.33</v>
      </c>
      <c r="H101" s="256">
        <f t="shared" si="23"/>
        <v>114942.01499999998</v>
      </c>
      <c r="I101" s="260">
        <v>7</v>
      </c>
      <c r="J101" s="260">
        <v>15</v>
      </c>
      <c r="K101" s="260">
        <v>2</v>
      </c>
      <c r="L101" s="256">
        <f t="shared" si="53"/>
        <v>44699.672500000001</v>
      </c>
      <c r="M101" s="256">
        <f t="shared" si="54"/>
        <v>95785.012499999997</v>
      </c>
      <c r="N101" s="256">
        <f t="shared" si="55"/>
        <v>12771.334999999999</v>
      </c>
      <c r="O101" s="256" t="s">
        <v>421</v>
      </c>
      <c r="P101" s="256"/>
      <c r="Q101" s="256">
        <f>17697*60%</f>
        <v>10618.199999999999</v>
      </c>
      <c r="R101" s="256"/>
      <c r="S101" s="257"/>
      <c r="T101" s="257"/>
      <c r="U101" s="257"/>
      <c r="V101" s="257"/>
      <c r="W101" s="257"/>
      <c r="X101" s="257"/>
      <c r="Y101" s="257"/>
      <c r="Z101" s="257"/>
      <c r="AA101" s="257"/>
      <c r="AB101" s="257"/>
      <c r="AC101" s="257">
        <f t="shared" si="43"/>
        <v>0</v>
      </c>
      <c r="AD101" s="257">
        <f t="shared" si="44"/>
        <v>0</v>
      </c>
      <c r="AE101" s="257">
        <f t="shared" si="45"/>
        <v>0</v>
      </c>
      <c r="AF101" s="257">
        <f t="shared" si="46"/>
        <v>0</v>
      </c>
      <c r="AG101" s="257">
        <f t="shared" si="47"/>
        <v>0</v>
      </c>
      <c r="AH101" s="257">
        <f t="shared" si="48"/>
        <v>0</v>
      </c>
      <c r="AI101" s="257">
        <f t="shared" si="49"/>
        <v>0</v>
      </c>
      <c r="AJ101" s="257">
        <f t="shared" si="50"/>
        <v>0</v>
      </c>
      <c r="AK101" s="257">
        <f t="shared" si="51"/>
        <v>0</v>
      </c>
      <c r="AL101" s="256">
        <f t="shared" si="52"/>
        <v>0</v>
      </c>
      <c r="AM101" s="256"/>
      <c r="AN101" s="256"/>
      <c r="AO101" s="256">
        <v>8</v>
      </c>
      <c r="AP101" s="256">
        <f t="shared" si="56"/>
        <v>1573.0666666666666</v>
      </c>
      <c r="AQ101" s="256"/>
      <c r="AR101" s="256"/>
      <c r="AS101" s="256"/>
      <c r="AT101" s="256"/>
      <c r="AU101" s="256"/>
      <c r="AV101" s="256"/>
      <c r="AW101" s="256"/>
      <c r="AX101" s="256"/>
      <c r="AY101" s="256"/>
      <c r="AZ101" s="256"/>
      <c r="BA101" s="256"/>
      <c r="BB101" s="256"/>
      <c r="BC101" s="256"/>
      <c r="BD101" s="256"/>
      <c r="BE101" s="256"/>
      <c r="BF101" s="256">
        <v>24</v>
      </c>
      <c r="BG101" s="256">
        <f t="shared" si="57"/>
        <v>45976.805999999997</v>
      </c>
      <c r="BH101" s="256"/>
      <c r="BI101" s="256"/>
      <c r="BJ101" s="256">
        <v>2</v>
      </c>
      <c r="BK101" s="256">
        <f t="shared" si="60"/>
        <v>786.5333333333333</v>
      </c>
      <c r="BL101" s="256">
        <f t="shared" si="58"/>
        <v>15325.601999999999</v>
      </c>
      <c r="BM101" s="256">
        <f t="shared" si="40"/>
        <v>227536.228</v>
      </c>
      <c r="BN101" s="182"/>
      <c r="BO101" s="182"/>
    </row>
    <row r="102" spans="1:67" s="186" customFormat="1" ht="72.75" customHeight="1">
      <c r="A102" s="255" t="s">
        <v>422</v>
      </c>
      <c r="B102" s="255" t="s">
        <v>103</v>
      </c>
      <c r="C102" s="255" t="s">
        <v>423</v>
      </c>
      <c r="D102" s="255" t="s">
        <v>124</v>
      </c>
      <c r="E102" s="255" t="s">
        <v>133</v>
      </c>
      <c r="F102" s="255" t="s">
        <v>134</v>
      </c>
      <c r="G102" s="255">
        <v>4.2699999999999996</v>
      </c>
      <c r="H102" s="256">
        <f t="shared" si="23"/>
        <v>113349.28499999997</v>
      </c>
      <c r="I102" s="260"/>
      <c r="J102" s="260">
        <v>20</v>
      </c>
      <c r="K102" s="260"/>
      <c r="L102" s="256">
        <f t="shared" si="53"/>
        <v>0</v>
      </c>
      <c r="M102" s="256">
        <f t="shared" si="54"/>
        <v>125943.64999999998</v>
      </c>
      <c r="N102" s="256">
        <f t="shared" si="55"/>
        <v>0</v>
      </c>
      <c r="O102" s="256" t="s">
        <v>410</v>
      </c>
      <c r="P102" s="256"/>
      <c r="Q102" s="256">
        <f>17697*60%</f>
        <v>10618.199999999999</v>
      </c>
      <c r="R102" s="256"/>
      <c r="S102" s="257"/>
      <c r="T102" s="257"/>
      <c r="U102" s="257"/>
      <c r="V102" s="257"/>
      <c r="W102" s="257"/>
      <c r="X102" s="257"/>
      <c r="Y102" s="257"/>
      <c r="Z102" s="257"/>
      <c r="AA102" s="257"/>
      <c r="AB102" s="257"/>
      <c r="AC102" s="257">
        <f t="shared" si="43"/>
        <v>0</v>
      </c>
      <c r="AD102" s="257">
        <f t="shared" si="44"/>
        <v>0</v>
      </c>
      <c r="AE102" s="257">
        <f t="shared" si="45"/>
        <v>0</v>
      </c>
      <c r="AF102" s="257">
        <f t="shared" si="46"/>
        <v>0</v>
      </c>
      <c r="AG102" s="257">
        <f t="shared" si="47"/>
        <v>0</v>
      </c>
      <c r="AH102" s="257">
        <f t="shared" si="48"/>
        <v>0</v>
      </c>
      <c r="AI102" s="257">
        <f t="shared" si="49"/>
        <v>0</v>
      </c>
      <c r="AJ102" s="257">
        <f t="shared" si="50"/>
        <v>0</v>
      </c>
      <c r="AK102" s="257">
        <f t="shared" si="51"/>
        <v>0</v>
      </c>
      <c r="AL102" s="256">
        <f t="shared" si="52"/>
        <v>0</v>
      </c>
      <c r="AM102" s="256"/>
      <c r="AN102" s="256"/>
      <c r="AO102" s="256">
        <v>10</v>
      </c>
      <c r="AP102" s="256">
        <f t="shared" si="56"/>
        <v>1966.3333333333333</v>
      </c>
      <c r="AQ102" s="256"/>
      <c r="AR102" s="256"/>
      <c r="AS102" s="256" t="s">
        <v>305</v>
      </c>
      <c r="AT102" s="256">
        <f>2917*10</f>
        <v>29170</v>
      </c>
      <c r="AU102" s="256"/>
      <c r="AV102" s="256"/>
      <c r="AW102" s="256"/>
      <c r="AX102" s="256"/>
      <c r="AY102" s="256"/>
      <c r="AZ102" s="256"/>
      <c r="BA102" s="256"/>
      <c r="BB102" s="256"/>
      <c r="BC102" s="256"/>
      <c r="BD102" s="256"/>
      <c r="BE102" s="256"/>
      <c r="BF102" s="256">
        <v>20</v>
      </c>
      <c r="BG102" s="256">
        <f t="shared" si="57"/>
        <v>37783.094999999994</v>
      </c>
      <c r="BH102" s="256"/>
      <c r="BI102" s="256"/>
      <c r="BJ102" s="256">
        <v>2</v>
      </c>
      <c r="BK102" s="256">
        <f t="shared" si="60"/>
        <v>786.5333333333333</v>
      </c>
      <c r="BL102" s="256">
        <f t="shared" si="58"/>
        <v>12594.364999999998</v>
      </c>
      <c r="BM102" s="256">
        <f t="shared" si="40"/>
        <v>218862.17666666664</v>
      </c>
      <c r="BN102" s="182"/>
      <c r="BO102" s="182"/>
    </row>
    <row r="103" spans="1:67" s="186" customFormat="1" ht="72.75" customHeight="1">
      <c r="A103" s="255" t="s">
        <v>424</v>
      </c>
      <c r="B103" s="255" t="s">
        <v>103</v>
      </c>
      <c r="C103" s="255" t="s">
        <v>425</v>
      </c>
      <c r="D103" s="255" t="s">
        <v>132</v>
      </c>
      <c r="E103" s="255" t="s">
        <v>133</v>
      </c>
      <c r="F103" s="255" t="s">
        <v>134</v>
      </c>
      <c r="G103" s="255">
        <v>4.2699999999999996</v>
      </c>
      <c r="H103" s="256">
        <f t="shared" si="23"/>
        <v>113349.28499999997</v>
      </c>
      <c r="I103" s="260"/>
      <c r="J103" s="260">
        <v>7</v>
      </c>
      <c r="K103" s="260"/>
      <c r="L103" s="256">
        <f t="shared" si="53"/>
        <v>0</v>
      </c>
      <c r="M103" s="256">
        <f t="shared" si="54"/>
        <v>44080.277499999997</v>
      </c>
      <c r="N103" s="256">
        <f t="shared" si="55"/>
        <v>0</v>
      </c>
      <c r="O103" s="256"/>
      <c r="P103" s="256"/>
      <c r="Q103" s="256"/>
      <c r="R103" s="256"/>
      <c r="S103" s="257"/>
      <c r="T103" s="257"/>
      <c r="U103" s="257"/>
      <c r="V103" s="257"/>
      <c r="W103" s="257"/>
      <c r="X103" s="257"/>
      <c r="Y103" s="257"/>
      <c r="Z103" s="257"/>
      <c r="AA103" s="257"/>
      <c r="AB103" s="257"/>
      <c r="AC103" s="257">
        <f t="shared" si="43"/>
        <v>0</v>
      </c>
      <c r="AD103" s="257">
        <f t="shared" si="44"/>
        <v>0</v>
      </c>
      <c r="AE103" s="257">
        <f t="shared" si="45"/>
        <v>0</v>
      </c>
      <c r="AF103" s="257">
        <f t="shared" si="46"/>
        <v>0</v>
      </c>
      <c r="AG103" s="257">
        <f t="shared" si="47"/>
        <v>0</v>
      </c>
      <c r="AH103" s="257">
        <f t="shared" si="48"/>
        <v>0</v>
      </c>
      <c r="AI103" s="257">
        <f t="shared" si="49"/>
        <v>0</v>
      </c>
      <c r="AJ103" s="257">
        <f t="shared" si="50"/>
        <v>0</v>
      </c>
      <c r="AK103" s="257">
        <f t="shared" si="51"/>
        <v>0</v>
      </c>
      <c r="AL103" s="256">
        <f t="shared" si="52"/>
        <v>0</v>
      </c>
      <c r="AM103" s="256"/>
      <c r="AN103" s="256"/>
      <c r="AO103" s="256"/>
      <c r="AP103" s="256">
        <f t="shared" si="56"/>
        <v>0</v>
      </c>
      <c r="AQ103" s="256"/>
      <c r="AR103" s="256"/>
      <c r="AS103" s="256"/>
      <c r="AT103" s="256"/>
      <c r="AU103" s="256"/>
      <c r="AV103" s="256"/>
      <c r="AW103" s="256"/>
      <c r="AX103" s="256"/>
      <c r="AY103" s="256"/>
      <c r="AZ103" s="256"/>
      <c r="BA103" s="256"/>
      <c r="BB103" s="256"/>
      <c r="BC103" s="256"/>
      <c r="BD103" s="256"/>
      <c r="BE103" s="256"/>
      <c r="BF103" s="256">
        <v>7</v>
      </c>
      <c r="BG103" s="256">
        <f t="shared" si="57"/>
        <v>13224.083249999998</v>
      </c>
      <c r="BH103" s="256"/>
      <c r="BI103" s="256"/>
      <c r="BJ103" s="256"/>
      <c r="BK103" s="256">
        <f t="shared" si="60"/>
        <v>0</v>
      </c>
      <c r="BL103" s="256">
        <f t="shared" si="58"/>
        <v>4408.0277500000002</v>
      </c>
      <c r="BM103" s="256">
        <f t="shared" si="40"/>
        <v>61712.388499999994</v>
      </c>
      <c r="BN103" s="182"/>
      <c r="BO103" s="182"/>
    </row>
    <row r="104" spans="1:67" s="186" customFormat="1" ht="72.75" customHeight="1">
      <c r="A104" s="255" t="s">
        <v>426</v>
      </c>
      <c r="B104" s="255" t="s">
        <v>103</v>
      </c>
      <c r="C104" s="255" t="s">
        <v>427</v>
      </c>
      <c r="D104" s="255" t="s">
        <v>140</v>
      </c>
      <c r="E104" s="255" t="s">
        <v>133</v>
      </c>
      <c r="F104" s="255" t="s">
        <v>134</v>
      </c>
      <c r="G104" s="255">
        <v>4.2699999999999996</v>
      </c>
      <c r="H104" s="256">
        <f t="shared" si="23"/>
        <v>113349.28499999997</v>
      </c>
      <c r="I104" s="260">
        <v>19</v>
      </c>
      <c r="J104" s="260"/>
      <c r="K104" s="260"/>
      <c r="L104" s="256">
        <f t="shared" si="53"/>
        <v>119646.46749999998</v>
      </c>
      <c r="M104" s="256">
        <f t="shared" si="54"/>
        <v>0</v>
      </c>
      <c r="N104" s="256">
        <f t="shared" si="55"/>
        <v>0</v>
      </c>
      <c r="O104" s="256" t="s">
        <v>428</v>
      </c>
      <c r="P104" s="259">
        <f>17697*50%</f>
        <v>8848.5</v>
      </c>
      <c r="Q104" s="256"/>
      <c r="R104" s="256"/>
      <c r="S104" s="257"/>
      <c r="T104" s="257">
        <v>15</v>
      </c>
      <c r="U104" s="257"/>
      <c r="V104" s="257"/>
      <c r="W104" s="257"/>
      <c r="X104" s="257"/>
      <c r="Y104" s="257"/>
      <c r="Z104" s="257"/>
      <c r="AA104" s="257"/>
      <c r="AB104" s="257"/>
      <c r="AC104" s="257">
        <f t="shared" si="43"/>
        <v>0</v>
      </c>
      <c r="AD104" s="257">
        <f t="shared" si="44"/>
        <v>5899</v>
      </c>
      <c r="AE104" s="257">
        <f t="shared" si="45"/>
        <v>0</v>
      </c>
      <c r="AF104" s="257">
        <f t="shared" si="46"/>
        <v>0</v>
      </c>
      <c r="AG104" s="257">
        <f t="shared" si="47"/>
        <v>0</v>
      </c>
      <c r="AH104" s="257">
        <f t="shared" si="48"/>
        <v>0</v>
      </c>
      <c r="AI104" s="257">
        <f t="shared" si="49"/>
        <v>0</v>
      </c>
      <c r="AJ104" s="257">
        <f t="shared" si="50"/>
        <v>0</v>
      </c>
      <c r="AK104" s="257">
        <f t="shared" si="51"/>
        <v>0</v>
      </c>
      <c r="AL104" s="256">
        <f t="shared" si="52"/>
        <v>0</v>
      </c>
      <c r="AM104" s="256"/>
      <c r="AN104" s="256"/>
      <c r="AO104" s="256"/>
      <c r="AP104" s="256">
        <f t="shared" si="56"/>
        <v>0</v>
      </c>
      <c r="AQ104" s="256"/>
      <c r="AR104" s="256"/>
      <c r="AS104" s="256"/>
      <c r="AT104" s="256"/>
      <c r="AU104" s="256"/>
      <c r="AV104" s="256"/>
      <c r="AW104" s="256"/>
      <c r="AX104" s="256"/>
      <c r="AY104" s="256"/>
      <c r="AZ104" s="256"/>
      <c r="BA104" s="256"/>
      <c r="BB104" s="256"/>
      <c r="BC104" s="256"/>
      <c r="BD104" s="256"/>
      <c r="BE104" s="256"/>
      <c r="BF104" s="256">
        <v>19</v>
      </c>
      <c r="BG104" s="256">
        <f t="shared" si="57"/>
        <v>35893.940249999992</v>
      </c>
      <c r="BH104" s="256"/>
      <c r="BI104" s="256"/>
      <c r="BJ104" s="256"/>
      <c r="BK104" s="256">
        <f t="shared" si="60"/>
        <v>0</v>
      </c>
      <c r="BL104" s="256">
        <f t="shared" si="58"/>
        <v>11964.64675</v>
      </c>
      <c r="BM104" s="256">
        <f t="shared" si="40"/>
        <v>182252.55449999997</v>
      </c>
      <c r="BN104" s="182"/>
      <c r="BO104" s="182"/>
    </row>
    <row r="105" spans="1:67" s="186" customFormat="1" ht="72.75" customHeight="1">
      <c r="A105" s="255" t="s">
        <v>429</v>
      </c>
      <c r="B105" s="255" t="s">
        <v>103</v>
      </c>
      <c r="C105" s="255" t="s">
        <v>430</v>
      </c>
      <c r="D105" s="255" t="s">
        <v>140</v>
      </c>
      <c r="E105" s="255" t="s">
        <v>133</v>
      </c>
      <c r="F105" s="255" t="s">
        <v>134</v>
      </c>
      <c r="G105" s="255">
        <v>4.2300000000000004</v>
      </c>
      <c r="H105" s="256">
        <f t="shared" si="23"/>
        <v>112287.46500000003</v>
      </c>
      <c r="I105" s="260"/>
      <c r="J105" s="260">
        <v>9</v>
      </c>
      <c r="K105" s="256"/>
      <c r="L105" s="256">
        <f t="shared" si="53"/>
        <v>0</v>
      </c>
      <c r="M105" s="256">
        <f t="shared" si="54"/>
        <v>56143.732500000013</v>
      </c>
      <c r="N105" s="256">
        <f t="shared" si="55"/>
        <v>0</v>
      </c>
      <c r="O105" s="256"/>
      <c r="P105" s="256"/>
      <c r="Q105" s="256"/>
      <c r="R105" s="256"/>
      <c r="S105" s="257"/>
      <c r="T105" s="257"/>
      <c r="U105" s="257"/>
      <c r="V105" s="257"/>
      <c r="W105" s="257"/>
      <c r="X105" s="257"/>
      <c r="Y105" s="257"/>
      <c r="Z105" s="257"/>
      <c r="AA105" s="257"/>
      <c r="AB105" s="257"/>
      <c r="AC105" s="257">
        <f t="shared" si="43"/>
        <v>0</v>
      </c>
      <c r="AD105" s="257">
        <f t="shared" si="44"/>
        <v>0</v>
      </c>
      <c r="AE105" s="257">
        <f t="shared" si="45"/>
        <v>0</v>
      </c>
      <c r="AF105" s="257">
        <f t="shared" si="46"/>
        <v>0</v>
      </c>
      <c r="AG105" s="257">
        <f t="shared" si="47"/>
        <v>0</v>
      </c>
      <c r="AH105" s="257">
        <f t="shared" si="48"/>
        <v>0</v>
      </c>
      <c r="AI105" s="257">
        <f t="shared" si="49"/>
        <v>0</v>
      </c>
      <c r="AJ105" s="257">
        <f t="shared" si="50"/>
        <v>0</v>
      </c>
      <c r="AK105" s="257">
        <f t="shared" si="51"/>
        <v>0</v>
      </c>
      <c r="AL105" s="256">
        <f t="shared" si="52"/>
        <v>0</v>
      </c>
      <c r="AM105" s="256"/>
      <c r="AN105" s="256"/>
      <c r="AO105" s="256"/>
      <c r="AP105" s="256">
        <f t="shared" si="56"/>
        <v>0</v>
      </c>
      <c r="AQ105" s="256"/>
      <c r="AR105" s="256"/>
      <c r="AS105" s="256"/>
      <c r="AT105" s="256"/>
      <c r="AU105" s="256"/>
      <c r="AV105" s="256"/>
      <c r="AW105" s="256"/>
      <c r="AX105" s="256"/>
      <c r="AY105" s="256"/>
      <c r="AZ105" s="256"/>
      <c r="BA105" s="256"/>
      <c r="BB105" s="256"/>
      <c r="BC105" s="256"/>
      <c r="BD105" s="256"/>
      <c r="BE105" s="256"/>
      <c r="BF105" s="256">
        <v>9</v>
      </c>
      <c r="BG105" s="256">
        <f t="shared" si="57"/>
        <v>16843.119750000002</v>
      </c>
      <c r="BH105" s="256"/>
      <c r="BI105" s="256"/>
      <c r="BJ105" s="256"/>
      <c r="BK105" s="256">
        <f t="shared" si="60"/>
        <v>0</v>
      </c>
      <c r="BL105" s="256">
        <f t="shared" si="58"/>
        <v>5614.3732500000015</v>
      </c>
      <c r="BM105" s="256">
        <f t="shared" si="40"/>
        <v>78601.225500000015</v>
      </c>
      <c r="BN105" s="182"/>
      <c r="BO105" s="182"/>
    </row>
    <row r="106" spans="1:67" s="186" customFormat="1" ht="72.75" customHeight="1">
      <c r="A106" s="255" t="s">
        <v>138</v>
      </c>
      <c r="B106" s="255" t="s">
        <v>103</v>
      </c>
      <c r="C106" s="255" t="s">
        <v>139</v>
      </c>
      <c r="D106" s="255" t="s">
        <v>140</v>
      </c>
      <c r="E106" s="255" t="s">
        <v>133</v>
      </c>
      <c r="F106" s="255" t="s">
        <v>134</v>
      </c>
      <c r="G106" s="255">
        <v>4.2300000000000004</v>
      </c>
      <c r="H106" s="256">
        <f t="shared" si="23"/>
        <v>112287.46500000003</v>
      </c>
      <c r="I106" s="260">
        <v>23</v>
      </c>
      <c r="J106" s="260"/>
      <c r="K106" s="256"/>
      <c r="L106" s="256">
        <f t="shared" si="53"/>
        <v>143478.42750000002</v>
      </c>
      <c r="M106" s="256">
        <f t="shared" si="54"/>
        <v>0</v>
      </c>
      <c r="N106" s="256">
        <f t="shared" si="55"/>
        <v>0</v>
      </c>
      <c r="O106" s="256" t="s">
        <v>431</v>
      </c>
      <c r="P106" s="259">
        <f>17697*50%</f>
        <v>8848.5</v>
      </c>
      <c r="Q106" s="256"/>
      <c r="R106" s="256"/>
      <c r="S106" s="257"/>
      <c r="T106" s="257">
        <v>15</v>
      </c>
      <c r="U106" s="257"/>
      <c r="V106" s="257"/>
      <c r="W106" s="257"/>
      <c r="X106" s="257"/>
      <c r="Y106" s="257"/>
      <c r="Z106" s="257"/>
      <c r="AA106" s="257"/>
      <c r="AB106" s="257"/>
      <c r="AC106" s="257">
        <f t="shared" si="43"/>
        <v>0</v>
      </c>
      <c r="AD106" s="257">
        <f t="shared" si="44"/>
        <v>5899</v>
      </c>
      <c r="AE106" s="257">
        <f t="shared" si="45"/>
        <v>0</v>
      </c>
      <c r="AF106" s="257">
        <f t="shared" si="46"/>
        <v>0</v>
      </c>
      <c r="AG106" s="257">
        <f t="shared" si="47"/>
        <v>0</v>
      </c>
      <c r="AH106" s="257">
        <f t="shared" si="48"/>
        <v>0</v>
      </c>
      <c r="AI106" s="257">
        <f t="shared" si="49"/>
        <v>0</v>
      </c>
      <c r="AJ106" s="257">
        <f t="shared" si="50"/>
        <v>0</v>
      </c>
      <c r="AK106" s="257">
        <f t="shared" si="51"/>
        <v>0</v>
      </c>
      <c r="AL106" s="256">
        <f t="shared" si="52"/>
        <v>0</v>
      </c>
      <c r="AM106" s="256"/>
      <c r="AN106" s="256"/>
      <c r="AO106" s="256"/>
      <c r="AP106" s="256">
        <f t="shared" si="56"/>
        <v>0</v>
      </c>
      <c r="AQ106" s="256"/>
      <c r="AR106" s="256"/>
      <c r="AS106" s="256"/>
      <c r="AT106" s="256"/>
      <c r="AU106" s="256"/>
      <c r="AV106" s="256"/>
      <c r="AW106" s="256"/>
      <c r="AX106" s="256"/>
      <c r="AY106" s="256"/>
      <c r="AZ106" s="256"/>
      <c r="BA106" s="256"/>
      <c r="BB106" s="256"/>
      <c r="BC106" s="256"/>
      <c r="BD106" s="256"/>
      <c r="BE106" s="256"/>
      <c r="BF106" s="256">
        <v>23</v>
      </c>
      <c r="BG106" s="256">
        <f t="shared" si="57"/>
        <v>43043.528250000003</v>
      </c>
      <c r="BH106" s="256"/>
      <c r="BI106" s="256"/>
      <c r="BJ106" s="256"/>
      <c r="BK106" s="256">
        <f t="shared" si="60"/>
        <v>0</v>
      </c>
      <c r="BL106" s="256">
        <f t="shared" si="58"/>
        <v>14347.842750000003</v>
      </c>
      <c r="BM106" s="256">
        <f t="shared" si="40"/>
        <v>215617.29850000003</v>
      </c>
      <c r="BN106" s="182"/>
      <c r="BO106" s="182"/>
    </row>
    <row r="107" spans="1:67" s="186" customFormat="1" ht="72.75" customHeight="1">
      <c r="A107" s="255" t="s">
        <v>141</v>
      </c>
      <c r="B107" s="255" t="s">
        <v>103</v>
      </c>
      <c r="C107" s="255" t="s">
        <v>142</v>
      </c>
      <c r="D107" s="255" t="s">
        <v>129</v>
      </c>
      <c r="E107" s="255" t="s">
        <v>133</v>
      </c>
      <c r="F107" s="255" t="s">
        <v>134</v>
      </c>
      <c r="G107" s="255">
        <v>4.2300000000000004</v>
      </c>
      <c r="H107" s="256">
        <f t="shared" si="23"/>
        <v>112287.46500000003</v>
      </c>
      <c r="I107" s="260">
        <v>12</v>
      </c>
      <c r="J107" s="260">
        <v>6</v>
      </c>
      <c r="K107" s="256"/>
      <c r="L107" s="256">
        <f t="shared" si="53"/>
        <v>74858.310000000012</v>
      </c>
      <c r="M107" s="256">
        <f t="shared" si="54"/>
        <v>37429.155000000006</v>
      </c>
      <c r="N107" s="256">
        <f t="shared" si="55"/>
        <v>0</v>
      </c>
      <c r="O107" s="256"/>
      <c r="P107" s="256"/>
      <c r="Q107" s="256"/>
      <c r="R107" s="256"/>
      <c r="S107" s="257"/>
      <c r="T107" s="257"/>
      <c r="U107" s="257">
        <v>6</v>
      </c>
      <c r="V107" s="257"/>
      <c r="W107" s="257"/>
      <c r="X107" s="257"/>
      <c r="Y107" s="257"/>
      <c r="Z107" s="257"/>
      <c r="AA107" s="257"/>
      <c r="AB107" s="257"/>
      <c r="AC107" s="257">
        <f t="shared" si="43"/>
        <v>0</v>
      </c>
      <c r="AD107" s="257">
        <f t="shared" si="44"/>
        <v>0</v>
      </c>
      <c r="AE107" s="257">
        <f t="shared" si="45"/>
        <v>1179.8</v>
      </c>
      <c r="AF107" s="257">
        <f t="shared" si="46"/>
        <v>0</v>
      </c>
      <c r="AG107" s="257">
        <f t="shared" si="47"/>
        <v>0</v>
      </c>
      <c r="AH107" s="257">
        <f t="shared" si="48"/>
        <v>0</v>
      </c>
      <c r="AI107" s="257">
        <f t="shared" si="49"/>
        <v>0</v>
      </c>
      <c r="AJ107" s="257">
        <f t="shared" si="50"/>
        <v>0</v>
      </c>
      <c r="AK107" s="257">
        <f t="shared" si="51"/>
        <v>0</v>
      </c>
      <c r="AL107" s="256">
        <f t="shared" si="52"/>
        <v>0</v>
      </c>
      <c r="AM107" s="256"/>
      <c r="AN107" s="256"/>
      <c r="AO107" s="256">
        <v>2</v>
      </c>
      <c r="AP107" s="256">
        <f t="shared" si="56"/>
        <v>393.26666666666665</v>
      </c>
      <c r="AQ107" s="256"/>
      <c r="AR107" s="256"/>
      <c r="AS107" s="256"/>
      <c r="AT107" s="256"/>
      <c r="AU107" s="256"/>
      <c r="AV107" s="256"/>
      <c r="AW107" s="256"/>
      <c r="AX107" s="256"/>
      <c r="AY107" s="256"/>
      <c r="AZ107" s="256"/>
      <c r="BA107" s="256"/>
      <c r="BB107" s="256"/>
      <c r="BC107" s="256"/>
      <c r="BD107" s="256"/>
      <c r="BE107" s="256"/>
      <c r="BF107" s="256">
        <v>18</v>
      </c>
      <c r="BG107" s="256">
        <f t="shared" si="57"/>
        <v>33686.239500000003</v>
      </c>
      <c r="BH107" s="256"/>
      <c r="BI107" s="256"/>
      <c r="BJ107" s="256"/>
      <c r="BK107" s="256">
        <f t="shared" si="60"/>
        <v>0</v>
      </c>
      <c r="BL107" s="256">
        <f t="shared" si="58"/>
        <v>11228.746500000003</v>
      </c>
      <c r="BM107" s="256">
        <f t="shared" si="40"/>
        <v>158775.51766666671</v>
      </c>
      <c r="BN107" s="182"/>
      <c r="BO107" s="182"/>
    </row>
    <row r="108" spans="1:67" s="186" customFormat="1" ht="72.75" customHeight="1">
      <c r="A108" s="255" t="s">
        <v>146</v>
      </c>
      <c r="B108" s="255" t="s">
        <v>103</v>
      </c>
      <c r="C108" s="255" t="s">
        <v>147</v>
      </c>
      <c r="D108" s="255" t="s">
        <v>238</v>
      </c>
      <c r="E108" s="255" t="s">
        <v>133</v>
      </c>
      <c r="F108" s="255" t="s">
        <v>134</v>
      </c>
      <c r="G108" s="267">
        <v>4.1399999999999997</v>
      </c>
      <c r="H108" s="256">
        <f t="shared" si="23"/>
        <v>109898.36999999998</v>
      </c>
      <c r="I108" s="256">
        <v>3</v>
      </c>
      <c r="J108" s="256">
        <v>2</v>
      </c>
      <c r="K108" s="256"/>
      <c r="L108" s="256">
        <f t="shared" si="53"/>
        <v>18316.394999999997</v>
      </c>
      <c r="M108" s="256">
        <f t="shared" si="54"/>
        <v>12210.929999999998</v>
      </c>
      <c r="N108" s="256">
        <f t="shared" si="55"/>
        <v>0</v>
      </c>
      <c r="O108" s="256"/>
      <c r="P108" s="256"/>
      <c r="Q108" s="256"/>
      <c r="R108" s="256"/>
      <c r="S108" s="257"/>
      <c r="T108" s="257"/>
      <c r="U108" s="257"/>
      <c r="V108" s="257"/>
      <c r="W108" s="257"/>
      <c r="X108" s="257"/>
      <c r="Y108" s="257"/>
      <c r="Z108" s="257"/>
      <c r="AA108" s="257"/>
      <c r="AB108" s="257"/>
      <c r="AC108" s="257">
        <f t="shared" si="43"/>
        <v>0</v>
      </c>
      <c r="AD108" s="257">
        <f t="shared" si="44"/>
        <v>0</v>
      </c>
      <c r="AE108" s="257">
        <f t="shared" si="45"/>
        <v>0</v>
      </c>
      <c r="AF108" s="257">
        <f t="shared" si="46"/>
        <v>0</v>
      </c>
      <c r="AG108" s="257">
        <f t="shared" si="47"/>
        <v>0</v>
      </c>
      <c r="AH108" s="257">
        <f t="shared" si="48"/>
        <v>0</v>
      </c>
      <c r="AI108" s="257">
        <f t="shared" si="49"/>
        <v>0</v>
      </c>
      <c r="AJ108" s="257">
        <f t="shared" si="50"/>
        <v>0</v>
      </c>
      <c r="AK108" s="257">
        <f t="shared" si="51"/>
        <v>0</v>
      </c>
      <c r="AL108" s="256">
        <f t="shared" si="52"/>
        <v>0</v>
      </c>
      <c r="AM108" s="256"/>
      <c r="AN108" s="256"/>
      <c r="AO108" s="256">
        <v>2</v>
      </c>
      <c r="AP108" s="256">
        <f t="shared" si="56"/>
        <v>393.26666666666665</v>
      </c>
      <c r="AQ108" s="256"/>
      <c r="AR108" s="256"/>
      <c r="AS108" s="256"/>
      <c r="AT108" s="256"/>
      <c r="AU108" s="256"/>
      <c r="AV108" s="256"/>
      <c r="AW108" s="256"/>
      <c r="AX108" s="256"/>
      <c r="AY108" s="256"/>
      <c r="AZ108" s="256"/>
      <c r="BA108" s="256"/>
      <c r="BB108" s="256"/>
      <c r="BC108" s="256"/>
      <c r="BD108" s="256"/>
      <c r="BE108" s="256"/>
      <c r="BF108" s="256">
        <v>5</v>
      </c>
      <c r="BG108" s="256">
        <f t="shared" si="57"/>
        <v>9158.1974999999984</v>
      </c>
      <c r="BH108" s="256"/>
      <c r="BI108" s="256"/>
      <c r="BJ108" s="256"/>
      <c r="BK108" s="256">
        <f t="shared" si="60"/>
        <v>0</v>
      </c>
      <c r="BL108" s="256">
        <f t="shared" si="58"/>
        <v>3052.7325000000001</v>
      </c>
      <c r="BM108" s="256">
        <f t="shared" si="40"/>
        <v>43131.52166666666</v>
      </c>
      <c r="BN108" s="182"/>
      <c r="BO108" s="182"/>
    </row>
    <row r="109" spans="1:67" s="186" customFormat="1" ht="72.75" customHeight="1">
      <c r="A109" s="255" t="s">
        <v>432</v>
      </c>
      <c r="B109" s="255" t="s">
        <v>103</v>
      </c>
      <c r="C109" s="255" t="s">
        <v>147</v>
      </c>
      <c r="D109" s="255" t="s">
        <v>242</v>
      </c>
      <c r="E109" s="255" t="s">
        <v>133</v>
      </c>
      <c r="F109" s="255" t="s">
        <v>134</v>
      </c>
      <c r="G109" s="267">
        <v>4.1399999999999997</v>
      </c>
      <c r="H109" s="256">
        <f t="shared" si="23"/>
        <v>109898.36999999998</v>
      </c>
      <c r="I109" s="256"/>
      <c r="J109" s="256">
        <v>9</v>
      </c>
      <c r="K109" s="256"/>
      <c r="L109" s="256">
        <f t="shared" si="53"/>
        <v>0</v>
      </c>
      <c r="M109" s="256">
        <f t="shared" si="54"/>
        <v>54949.18499999999</v>
      </c>
      <c r="N109" s="256">
        <f t="shared" si="55"/>
        <v>0</v>
      </c>
      <c r="O109" s="256"/>
      <c r="P109" s="256"/>
      <c r="Q109" s="256"/>
      <c r="R109" s="256"/>
      <c r="S109" s="257"/>
      <c r="T109" s="257"/>
      <c r="U109" s="257"/>
      <c r="V109" s="257"/>
      <c r="W109" s="257"/>
      <c r="X109" s="257"/>
      <c r="Y109" s="257"/>
      <c r="Z109" s="257"/>
      <c r="AA109" s="257"/>
      <c r="AB109" s="257"/>
      <c r="AC109" s="257">
        <f t="shared" si="43"/>
        <v>0</v>
      </c>
      <c r="AD109" s="257">
        <f t="shared" si="44"/>
        <v>0</v>
      </c>
      <c r="AE109" s="257">
        <f t="shared" si="45"/>
        <v>0</v>
      </c>
      <c r="AF109" s="257">
        <f t="shared" si="46"/>
        <v>0</v>
      </c>
      <c r="AG109" s="257">
        <f t="shared" si="47"/>
        <v>0</v>
      </c>
      <c r="AH109" s="257">
        <f t="shared" si="48"/>
        <v>0</v>
      </c>
      <c r="AI109" s="257">
        <f t="shared" si="49"/>
        <v>0</v>
      </c>
      <c r="AJ109" s="257">
        <f t="shared" si="50"/>
        <v>0</v>
      </c>
      <c r="AK109" s="257">
        <f t="shared" si="51"/>
        <v>0</v>
      </c>
      <c r="AL109" s="256">
        <f t="shared" si="52"/>
        <v>0</v>
      </c>
      <c r="AM109" s="256"/>
      <c r="AN109" s="256"/>
      <c r="AO109" s="256">
        <v>5</v>
      </c>
      <c r="AP109" s="256">
        <f t="shared" si="56"/>
        <v>983.16666666666663</v>
      </c>
      <c r="AQ109" s="256"/>
      <c r="AR109" s="256"/>
      <c r="AS109" s="256"/>
      <c r="AT109" s="256"/>
      <c r="AU109" s="256"/>
      <c r="AV109" s="256"/>
      <c r="AW109" s="256"/>
      <c r="AX109" s="256"/>
      <c r="AY109" s="256"/>
      <c r="AZ109" s="256"/>
      <c r="BA109" s="256"/>
      <c r="BB109" s="256"/>
      <c r="BC109" s="256"/>
      <c r="BD109" s="256"/>
      <c r="BE109" s="256"/>
      <c r="BF109" s="256">
        <v>9</v>
      </c>
      <c r="BG109" s="256">
        <f t="shared" si="57"/>
        <v>16484.755499999996</v>
      </c>
      <c r="BH109" s="256"/>
      <c r="BI109" s="256"/>
      <c r="BJ109" s="256"/>
      <c r="BK109" s="256">
        <f t="shared" si="60"/>
        <v>0</v>
      </c>
      <c r="BL109" s="256">
        <f t="shared" si="58"/>
        <v>5494.9184999999998</v>
      </c>
      <c r="BM109" s="256">
        <f t="shared" si="40"/>
        <v>77912.025666666654</v>
      </c>
      <c r="BN109" s="182"/>
      <c r="BO109" s="182"/>
    </row>
    <row r="110" spans="1:67" s="186" customFormat="1" ht="72.75" customHeight="1">
      <c r="A110" s="255" t="s">
        <v>433</v>
      </c>
      <c r="B110" s="255" t="s">
        <v>103</v>
      </c>
      <c r="C110" s="255" t="s">
        <v>412</v>
      </c>
      <c r="D110" s="255" t="s">
        <v>140</v>
      </c>
      <c r="E110" s="255" t="s">
        <v>133</v>
      </c>
      <c r="F110" s="255" t="s">
        <v>134</v>
      </c>
      <c r="G110" s="267">
        <v>4.0999999999999996</v>
      </c>
      <c r="H110" s="256">
        <f t="shared" si="23"/>
        <v>108836.54999999999</v>
      </c>
      <c r="I110" s="256">
        <v>9</v>
      </c>
      <c r="J110" s="256"/>
      <c r="K110" s="256"/>
      <c r="L110" s="256">
        <f t="shared" si="53"/>
        <v>54418.274999999994</v>
      </c>
      <c r="M110" s="256">
        <f t="shared" si="54"/>
        <v>0</v>
      </c>
      <c r="N110" s="256">
        <f t="shared" si="55"/>
        <v>0</v>
      </c>
      <c r="P110" s="256"/>
      <c r="Q110" s="256"/>
      <c r="R110" s="256"/>
      <c r="S110" s="257"/>
      <c r="T110" s="257"/>
      <c r="U110" s="257"/>
      <c r="V110" s="257"/>
      <c r="W110" s="257"/>
      <c r="X110" s="257"/>
      <c r="Y110" s="257"/>
      <c r="Z110" s="257"/>
      <c r="AA110" s="257"/>
      <c r="AB110" s="257"/>
      <c r="AC110" s="257">
        <f t="shared" si="43"/>
        <v>0</v>
      </c>
      <c r="AD110" s="257">
        <f t="shared" si="44"/>
        <v>0</v>
      </c>
      <c r="AE110" s="257">
        <f t="shared" si="45"/>
        <v>0</v>
      </c>
      <c r="AF110" s="257">
        <f t="shared" si="46"/>
        <v>0</v>
      </c>
      <c r="AG110" s="257">
        <f t="shared" si="47"/>
        <v>0</v>
      </c>
      <c r="AH110" s="257">
        <f t="shared" si="48"/>
        <v>0</v>
      </c>
      <c r="AI110" s="257">
        <f t="shared" si="49"/>
        <v>0</v>
      </c>
      <c r="AJ110" s="257">
        <f t="shared" si="50"/>
        <v>0</v>
      </c>
      <c r="AK110" s="257">
        <f t="shared" si="51"/>
        <v>0</v>
      </c>
      <c r="AL110" s="256">
        <f t="shared" si="52"/>
        <v>0</v>
      </c>
      <c r="AM110" s="256"/>
      <c r="AN110" s="256"/>
      <c r="AO110" s="256">
        <v>6</v>
      </c>
      <c r="AP110" s="256">
        <f t="shared" si="56"/>
        <v>1179.8</v>
      </c>
      <c r="AQ110" s="256"/>
      <c r="AR110" s="256"/>
      <c r="AS110" s="256"/>
      <c r="AT110" s="256"/>
      <c r="AU110" s="256"/>
      <c r="AV110" s="256"/>
      <c r="AW110" s="256"/>
      <c r="AX110" s="256"/>
      <c r="AY110" s="256"/>
      <c r="AZ110" s="256"/>
      <c r="BA110" s="256"/>
      <c r="BB110" s="256"/>
      <c r="BC110" s="256"/>
      <c r="BD110" s="256"/>
      <c r="BE110" s="256"/>
      <c r="BF110" s="256">
        <v>9</v>
      </c>
      <c r="BG110" s="256">
        <f t="shared" si="57"/>
        <v>16325.482499999998</v>
      </c>
      <c r="BH110" s="256"/>
      <c r="BI110" s="256"/>
      <c r="BJ110" s="256"/>
      <c r="BK110" s="256">
        <f t="shared" si="60"/>
        <v>0</v>
      </c>
      <c r="BL110" s="256">
        <f t="shared" si="58"/>
        <v>5441.8274999999994</v>
      </c>
      <c r="BM110" s="256">
        <f t="shared" si="40"/>
        <v>77365.384999999995</v>
      </c>
      <c r="BN110" s="182"/>
      <c r="BO110" s="182"/>
    </row>
    <row r="111" spans="1:67" s="186" customFormat="1" ht="72.75" customHeight="1">
      <c r="A111" s="255" t="s">
        <v>434</v>
      </c>
      <c r="B111" s="255" t="s">
        <v>103</v>
      </c>
      <c r="C111" s="255" t="s">
        <v>412</v>
      </c>
      <c r="D111" s="255" t="s">
        <v>112</v>
      </c>
      <c r="E111" s="255" t="s">
        <v>133</v>
      </c>
      <c r="F111" s="255" t="s">
        <v>134</v>
      </c>
      <c r="G111" s="267">
        <v>4.0999999999999996</v>
      </c>
      <c r="H111" s="256">
        <f t="shared" si="23"/>
        <v>108836.54999999999</v>
      </c>
      <c r="I111" s="256"/>
      <c r="J111" s="256">
        <v>20</v>
      </c>
      <c r="K111" s="256"/>
      <c r="L111" s="256">
        <f t="shared" si="53"/>
        <v>0</v>
      </c>
      <c r="M111" s="256">
        <f t="shared" si="54"/>
        <v>120929.49999999999</v>
      </c>
      <c r="N111" s="256">
        <f t="shared" si="55"/>
        <v>0</v>
      </c>
      <c r="O111" s="256"/>
      <c r="P111" s="256"/>
      <c r="Q111" s="256"/>
      <c r="R111" s="256"/>
      <c r="S111" s="257"/>
      <c r="T111" s="257"/>
      <c r="U111" s="257"/>
      <c r="V111" s="257"/>
      <c r="W111" s="257"/>
      <c r="X111" s="257"/>
      <c r="Y111" s="257"/>
      <c r="Z111" s="257"/>
      <c r="AA111" s="257"/>
      <c r="AB111" s="257"/>
      <c r="AC111" s="257">
        <f t="shared" si="43"/>
        <v>0</v>
      </c>
      <c r="AD111" s="257">
        <f t="shared" si="44"/>
        <v>0</v>
      </c>
      <c r="AE111" s="257">
        <f t="shared" si="45"/>
        <v>0</v>
      </c>
      <c r="AF111" s="257">
        <f t="shared" si="46"/>
        <v>0</v>
      </c>
      <c r="AG111" s="257">
        <f t="shared" si="47"/>
        <v>0</v>
      </c>
      <c r="AH111" s="257">
        <f t="shared" si="48"/>
        <v>0</v>
      </c>
      <c r="AI111" s="257">
        <f t="shared" si="49"/>
        <v>0</v>
      </c>
      <c r="AJ111" s="257">
        <f t="shared" si="50"/>
        <v>0</v>
      </c>
      <c r="AK111" s="257">
        <f t="shared" si="51"/>
        <v>0</v>
      </c>
      <c r="AL111" s="256">
        <f t="shared" si="52"/>
        <v>0</v>
      </c>
      <c r="AM111" s="256"/>
      <c r="AN111" s="256"/>
      <c r="AO111" s="256">
        <v>5</v>
      </c>
      <c r="AP111" s="256">
        <f t="shared" si="56"/>
        <v>983.16666666666663</v>
      </c>
      <c r="AQ111" s="256"/>
      <c r="AR111" s="256"/>
      <c r="AS111" s="256"/>
      <c r="AT111" s="256"/>
      <c r="AU111" s="256"/>
      <c r="AV111" s="256"/>
      <c r="AW111" s="256"/>
      <c r="AX111" s="256"/>
      <c r="AY111" s="256"/>
      <c r="AZ111" s="256"/>
      <c r="BA111" s="256"/>
      <c r="BB111" s="256"/>
      <c r="BC111" s="256"/>
      <c r="BD111" s="256"/>
      <c r="BE111" s="256"/>
      <c r="BF111" s="256">
        <v>20</v>
      </c>
      <c r="BG111" s="256">
        <f t="shared" si="57"/>
        <v>36278.849999999991</v>
      </c>
      <c r="BH111" s="256"/>
      <c r="BI111" s="256"/>
      <c r="BJ111" s="256"/>
      <c r="BK111" s="256">
        <f t="shared" si="60"/>
        <v>0</v>
      </c>
      <c r="BL111" s="256">
        <f t="shared" si="58"/>
        <v>12092.949999999999</v>
      </c>
      <c r="BM111" s="256">
        <f t="shared" si="40"/>
        <v>170284.46666666667</v>
      </c>
      <c r="BN111" s="182"/>
      <c r="BO111" s="182"/>
    </row>
    <row r="112" spans="1:67" s="186" customFormat="1" ht="72.75" customHeight="1">
      <c r="A112" s="255" t="s">
        <v>435</v>
      </c>
      <c r="B112" s="255" t="s">
        <v>103</v>
      </c>
      <c r="C112" s="255" t="s">
        <v>412</v>
      </c>
      <c r="D112" s="255" t="s">
        <v>129</v>
      </c>
      <c r="E112" s="255" t="s">
        <v>133</v>
      </c>
      <c r="F112" s="255" t="s">
        <v>134</v>
      </c>
      <c r="G112" s="267">
        <v>4.0999999999999996</v>
      </c>
      <c r="H112" s="256">
        <f t="shared" si="23"/>
        <v>108836.54999999999</v>
      </c>
      <c r="I112" s="256"/>
      <c r="J112" s="256">
        <v>15</v>
      </c>
      <c r="K112" s="256">
        <v>3</v>
      </c>
      <c r="L112" s="256">
        <f t="shared" si="53"/>
        <v>0</v>
      </c>
      <c r="M112" s="256">
        <f t="shared" si="54"/>
        <v>90697.124999999985</v>
      </c>
      <c r="N112" s="256">
        <f t="shared" si="55"/>
        <v>18139.424999999999</v>
      </c>
      <c r="O112" s="256"/>
      <c r="P112" s="256"/>
      <c r="Q112" s="256"/>
      <c r="R112" s="256"/>
      <c r="S112" s="257"/>
      <c r="T112" s="257"/>
      <c r="U112" s="257">
        <v>15</v>
      </c>
      <c r="V112" s="257"/>
      <c r="W112" s="257"/>
      <c r="X112" s="257"/>
      <c r="Y112" s="257">
        <v>3</v>
      </c>
      <c r="Z112" s="257"/>
      <c r="AA112" s="257"/>
      <c r="AB112" s="257"/>
      <c r="AC112" s="257">
        <f t="shared" si="43"/>
        <v>0</v>
      </c>
      <c r="AD112" s="257">
        <f t="shared" si="44"/>
        <v>0</v>
      </c>
      <c r="AE112" s="257">
        <f t="shared" si="45"/>
        <v>2949.5</v>
      </c>
      <c r="AF112" s="257">
        <f t="shared" si="46"/>
        <v>0</v>
      </c>
      <c r="AG112" s="257">
        <f t="shared" si="47"/>
        <v>0</v>
      </c>
      <c r="AH112" s="257">
        <f t="shared" si="48"/>
        <v>0</v>
      </c>
      <c r="AI112" s="257">
        <f t="shared" si="49"/>
        <v>589.9</v>
      </c>
      <c r="AJ112" s="257">
        <f t="shared" si="50"/>
        <v>0</v>
      </c>
      <c r="AK112" s="257">
        <f t="shared" si="51"/>
        <v>0</v>
      </c>
      <c r="AL112" s="256">
        <f t="shared" si="52"/>
        <v>0</v>
      </c>
      <c r="AM112" s="256"/>
      <c r="AN112" s="256"/>
      <c r="AO112" s="256">
        <v>15</v>
      </c>
      <c r="AP112" s="256">
        <f t="shared" si="56"/>
        <v>2949.5</v>
      </c>
      <c r="AQ112" s="256"/>
      <c r="AR112" s="256"/>
      <c r="AS112" s="256" t="s">
        <v>305</v>
      </c>
      <c r="AT112" s="256">
        <f>2917*10</f>
        <v>29170</v>
      </c>
      <c r="AU112" s="256"/>
      <c r="AV112" s="256"/>
      <c r="AW112" s="256"/>
      <c r="AX112" s="256"/>
      <c r="AY112" s="256"/>
      <c r="AZ112" s="256"/>
      <c r="BA112" s="256"/>
      <c r="BB112" s="256"/>
      <c r="BC112" s="256"/>
      <c r="BD112" s="256"/>
      <c r="BE112" s="256"/>
      <c r="BF112" s="256">
        <v>18</v>
      </c>
      <c r="BG112" s="256">
        <f t="shared" si="57"/>
        <v>32650.964999999997</v>
      </c>
      <c r="BH112" s="256"/>
      <c r="BI112" s="256"/>
      <c r="BJ112" s="256">
        <v>3</v>
      </c>
      <c r="BK112" s="256">
        <f t="shared" si="60"/>
        <v>1179.8</v>
      </c>
      <c r="BL112" s="256">
        <f t="shared" si="58"/>
        <v>10883.654999999999</v>
      </c>
      <c r="BM112" s="256">
        <f t="shared" si="40"/>
        <v>189209.86999999997</v>
      </c>
      <c r="BN112" s="182"/>
      <c r="BO112" s="182"/>
    </row>
    <row r="113" spans="1:67" s="186" customFormat="1" ht="72.75" customHeight="1">
      <c r="A113" s="255" t="s">
        <v>436</v>
      </c>
      <c r="B113" s="255" t="s">
        <v>103</v>
      </c>
      <c r="C113" s="255" t="s">
        <v>412</v>
      </c>
      <c r="D113" s="255" t="s">
        <v>115</v>
      </c>
      <c r="E113" s="255" t="s">
        <v>133</v>
      </c>
      <c r="F113" s="255" t="s">
        <v>134</v>
      </c>
      <c r="G113" s="267">
        <v>4.0999999999999996</v>
      </c>
      <c r="H113" s="256">
        <f t="shared" si="23"/>
        <v>108836.54999999999</v>
      </c>
      <c r="I113" s="256">
        <v>4</v>
      </c>
      <c r="J113" s="256">
        <v>5</v>
      </c>
      <c r="K113" s="256"/>
      <c r="L113" s="256">
        <f t="shared" si="53"/>
        <v>24185.899999999998</v>
      </c>
      <c r="M113" s="256">
        <f t="shared" si="54"/>
        <v>30232.374999999996</v>
      </c>
      <c r="N113" s="256">
        <f t="shared" si="55"/>
        <v>0</v>
      </c>
      <c r="O113" s="256"/>
      <c r="P113" s="256"/>
      <c r="Q113" s="256"/>
      <c r="R113" s="256"/>
      <c r="S113" s="257">
        <v>4</v>
      </c>
      <c r="T113" s="257"/>
      <c r="U113" s="257"/>
      <c r="V113" s="257"/>
      <c r="W113" s="257">
        <v>5</v>
      </c>
      <c r="X113" s="257"/>
      <c r="Y113" s="257"/>
      <c r="Z113" s="257"/>
      <c r="AA113" s="257"/>
      <c r="AB113" s="257"/>
      <c r="AC113" s="257">
        <f t="shared" si="43"/>
        <v>983.16666666666663</v>
      </c>
      <c r="AD113" s="257">
        <f t="shared" si="44"/>
        <v>0</v>
      </c>
      <c r="AE113" s="257">
        <f t="shared" si="45"/>
        <v>0</v>
      </c>
      <c r="AF113" s="257">
        <f t="shared" si="46"/>
        <v>0</v>
      </c>
      <c r="AG113" s="257">
        <f t="shared" si="47"/>
        <v>1228.9583333333333</v>
      </c>
      <c r="AH113" s="257">
        <f t="shared" si="48"/>
        <v>0</v>
      </c>
      <c r="AI113" s="257">
        <f t="shared" si="49"/>
        <v>0</v>
      </c>
      <c r="AJ113" s="257">
        <f t="shared" si="50"/>
        <v>0</v>
      </c>
      <c r="AK113" s="257">
        <f t="shared" si="51"/>
        <v>0</v>
      </c>
      <c r="AL113" s="256">
        <f t="shared" si="52"/>
        <v>0</v>
      </c>
      <c r="AM113" s="256"/>
      <c r="AN113" s="256"/>
      <c r="AO113" s="256">
        <v>7</v>
      </c>
      <c r="AP113" s="256">
        <f t="shared" si="56"/>
        <v>1376.4333333333334</v>
      </c>
      <c r="AQ113" s="256"/>
      <c r="AR113" s="256"/>
      <c r="AS113" s="256"/>
      <c r="AT113" s="256"/>
      <c r="AU113" s="256"/>
      <c r="AV113" s="256"/>
      <c r="AW113" s="256"/>
      <c r="AX113" s="256"/>
      <c r="AY113" s="256"/>
      <c r="AZ113" s="256"/>
      <c r="BA113" s="256"/>
      <c r="BB113" s="256"/>
      <c r="BC113" s="256"/>
      <c r="BD113" s="256"/>
      <c r="BE113" s="256"/>
      <c r="BF113" s="256">
        <v>9</v>
      </c>
      <c r="BG113" s="256">
        <f t="shared" si="57"/>
        <v>16325.482499999998</v>
      </c>
      <c r="BH113" s="256"/>
      <c r="BI113" s="256"/>
      <c r="BJ113" s="256"/>
      <c r="BK113" s="256">
        <f t="shared" si="60"/>
        <v>0</v>
      </c>
      <c r="BL113" s="256">
        <f t="shared" si="58"/>
        <v>5441.8274999999994</v>
      </c>
      <c r="BM113" s="256">
        <f t="shared" si="40"/>
        <v>79774.143333333326</v>
      </c>
      <c r="BN113" s="182"/>
      <c r="BO113" s="182"/>
    </row>
    <row r="114" spans="1:67" s="186" customFormat="1" ht="72.75" customHeight="1">
      <c r="A114" s="255" t="s">
        <v>149</v>
      </c>
      <c r="B114" s="255" t="s">
        <v>150</v>
      </c>
      <c r="C114" s="255" t="s">
        <v>151</v>
      </c>
      <c r="D114" s="255" t="s">
        <v>140</v>
      </c>
      <c r="E114" s="255" t="s">
        <v>103</v>
      </c>
      <c r="F114" s="255" t="s">
        <v>152</v>
      </c>
      <c r="G114" s="255">
        <v>4.5199999999999996</v>
      </c>
      <c r="H114" s="256">
        <f t="shared" si="23"/>
        <v>119985.65999999997</v>
      </c>
      <c r="I114" s="256">
        <v>22</v>
      </c>
      <c r="J114" s="256"/>
      <c r="K114" s="256"/>
      <c r="L114" s="256">
        <f t="shared" si="53"/>
        <v>146649.13999999998</v>
      </c>
      <c r="M114" s="256">
        <f t="shared" si="54"/>
        <v>0</v>
      </c>
      <c r="N114" s="256">
        <f t="shared" si="55"/>
        <v>0</v>
      </c>
      <c r="O114" s="256" t="s">
        <v>268</v>
      </c>
      <c r="P114" s="259">
        <f t="shared" ref="P114:P120" si="61">17697*50%</f>
        <v>8848.5</v>
      </c>
      <c r="Q114" s="256"/>
      <c r="R114" s="256"/>
      <c r="S114" s="257"/>
      <c r="T114" s="257">
        <v>15</v>
      </c>
      <c r="U114" s="257"/>
      <c r="V114" s="257"/>
      <c r="W114" s="257"/>
      <c r="X114" s="257"/>
      <c r="Y114" s="257"/>
      <c r="Z114" s="257"/>
      <c r="AA114" s="257"/>
      <c r="AB114" s="257"/>
      <c r="AC114" s="257">
        <f t="shared" si="43"/>
        <v>0</v>
      </c>
      <c r="AD114" s="257">
        <f t="shared" si="44"/>
        <v>5899</v>
      </c>
      <c r="AE114" s="257">
        <f t="shared" si="45"/>
        <v>0</v>
      </c>
      <c r="AF114" s="257">
        <f t="shared" si="46"/>
        <v>0</v>
      </c>
      <c r="AG114" s="257">
        <f t="shared" si="47"/>
        <v>0</v>
      </c>
      <c r="AH114" s="257">
        <f t="shared" si="48"/>
        <v>0</v>
      </c>
      <c r="AI114" s="257">
        <f t="shared" si="49"/>
        <v>0</v>
      </c>
      <c r="AJ114" s="257">
        <f t="shared" si="50"/>
        <v>0</v>
      </c>
      <c r="AK114" s="257">
        <f t="shared" si="51"/>
        <v>0</v>
      </c>
      <c r="AL114" s="256">
        <f t="shared" si="52"/>
        <v>0</v>
      </c>
      <c r="AM114" s="256" t="s">
        <v>437</v>
      </c>
      <c r="AN114" s="256">
        <f>17697*20%</f>
        <v>3539.4</v>
      </c>
      <c r="AO114" s="256">
        <v>22</v>
      </c>
      <c r="AP114" s="256">
        <f t="shared" si="56"/>
        <v>4325.9333333333334</v>
      </c>
      <c r="AQ114" s="256"/>
      <c r="AR114" s="256"/>
      <c r="AS114" s="256"/>
      <c r="AT114" s="256"/>
      <c r="AU114" s="256"/>
      <c r="AV114" s="256"/>
      <c r="AW114" s="256"/>
      <c r="AX114" s="256"/>
      <c r="AY114" s="256"/>
      <c r="AZ114" s="256"/>
      <c r="BA114" s="256"/>
      <c r="BB114" s="256"/>
      <c r="BC114" s="256"/>
      <c r="BD114" s="256"/>
      <c r="BE114" s="256"/>
      <c r="BF114" s="256">
        <v>22</v>
      </c>
      <c r="BG114" s="256">
        <f t="shared" si="57"/>
        <v>43994.741999999991</v>
      </c>
      <c r="BH114" s="256"/>
      <c r="BI114" s="256"/>
      <c r="BJ114" s="256"/>
      <c r="BK114" s="256">
        <f t="shared" si="60"/>
        <v>0</v>
      </c>
      <c r="BL114" s="256">
        <f t="shared" si="58"/>
        <v>14664.913999999999</v>
      </c>
      <c r="BM114" s="256">
        <f t="shared" si="40"/>
        <v>227921.62933333329</v>
      </c>
      <c r="BN114" s="182"/>
      <c r="BO114" s="182"/>
    </row>
    <row r="115" spans="1:67" s="186" customFormat="1" ht="72.75" customHeight="1">
      <c r="A115" s="255" t="s">
        <v>438</v>
      </c>
      <c r="B115" s="255" t="s">
        <v>150</v>
      </c>
      <c r="C115" s="255" t="s">
        <v>439</v>
      </c>
      <c r="D115" s="255" t="s">
        <v>140</v>
      </c>
      <c r="E115" s="255" t="s">
        <v>103</v>
      </c>
      <c r="F115" s="255" t="s">
        <v>152</v>
      </c>
      <c r="G115" s="255">
        <v>4.5199999999999996</v>
      </c>
      <c r="H115" s="256">
        <f t="shared" si="23"/>
        <v>119985.65999999997</v>
      </c>
      <c r="I115" s="256">
        <v>18</v>
      </c>
      <c r="J115" s="256"/>
      <c r="K115" s="256"/>
      <c r="L115" s="256">
        <f t="shared" si="53"/>
        <v>119985.65999999997</v>
      </c>
      <c r="M115" s="256">
        <f t="shared" si="54"/>
        <v>0</v>
      </c>
      <c r="N115" s="256">
        <f t="shared" si="55"/>
        <v>0</v>
      </c>
      <c r="O115" s="256" t="s">
        <v>260</v>
      </c>
      <c r="P115" s="259">
        <f t="shared" si="61"/>
        <v>8848.5</v>
      </c>
      <c r="Q115" s="256"/>
      <c r="R115" s="256"/>
      <c r="S115" s="257"/>
      <c r="T115" s="257">
        <v>14</v>
      </c>
      <c r="U115" s="257"/>
      <c r="V115" s="257"/>
      <c r="W115" s="257"/>
      <c r="X115" s="257"/>
      <c r="Y115" s="257"/>
      <c r="Z115" s="257"/>
      <c r="AA115" s="257"/>
      <c r="AB115" s="257"/>
      <c r="AC115" s="257">
        <f t="shared" si="43"/>
        <v>0</v>
      </c>
      <c r="AD115" s="257">
        <f t="shared" si="44"/>
        <v>5505.7333333333336</v>
      </c>
      <c r="AE115" s="257">
        <f t="shared" si="45"/>
        <v>0</v>
      </c>
      <c r="AF115" s="257">
        <f t="shared" si="46"/>
        <v>0</v>
      </c>
      <c r="AG115" s="257">
        <f t="shared" si="47"/>
        <v>0</v>
      </c>
      <c r="AH115" s="257">
        <f t="shared" si="48"/>
        <v>0</v>
      </c>
      <c r="AI115" s="257">
        <f t="shared" si="49"/>
        <v>0</v>
      </c>
      <c r="AJ115" s="257">
        <f t="shared" si="50"/>
        <v>0</v>
      </c>
      <c r="AK115" s="257">
        <f t="shared" si="51"/>
        <v>0</v>
      </c>
      <c r="AL115" s="256">
        <f t="shared" si="52"/>
        <v>0</v>
      </c>
      <c r="AM115" s="256"/>
      <c r="AN115" s="256"/>
      <c r="AO115" s="256">
        <v>18</v>
      </c>
      <c r="AP115" s="256">
        <f t="shared" si="56"/>
        <v>3539.3999999999996</v>
      </c>
      <c r="AQ115" s="256"/>
      <c r="AR115" s="256"/>
      <c r="AS115" s="256"/>
      <c r="AT115" s="256"/>
      <c r="AU115" s="256"/>
      <c r="AV115" s="256"/>
      <c r="AW115" s="256"/>
      <c r="AX115" s="256"/>
      <c r="AY115" s="256"/>
      <c r="AZ115" s="256"/>
      <c r="BA115" s="256"/>
      <c r="BB115" s="256"/>
      <c r="BC115" s="256"/>
      <c r="BD115" s="256"/>
      <c r="BE115" s="256"/>
      <c r="BF115" s="256">
        <v>18</v>
      </c>
      <c r="BG115" s="256">
        <f t="shared" si="57"/>
        <v>35995.697999999989</v>
      </c>
      <c r="BH115" s="256"/>
      <c r="BI115" s="256"/>
      <c r="BJ115" s="256"/>
      <c r="BK115" s="256">
        <f t="shared" si="60"/>
        <v>0</v>
      </c>
      <c r="BL115" s="256">
        <f t="shared" si="58"/>
        <v>11998.565999999999</v>
      </c>
      <c r="BM115" s="256">
        <f t="shared" si="40"/>
        <v>185873.5573333333</v>
      </c>
      <c r="BN115" s="182"/>
      <c r="BO115" s="182"/>
    </row>
    <row r="116" spans="1:67" s="186" customFormat="1" ht="72.75" customHeight="1">
      <c r="A116" s="255" t="s">
        <v>440</v>
      </c>
      <c r="B116" s="255" t="s">
        <v>150</v>
      </c>
      <c r="C116" s="255" t="s">
        <v>441</v>
      </c>
      <c r="D116" s="255" t="s">
        <v>140</v>
      </c>
      <c r="E116" s="255" t="s">
        <v>116</v>
      </c>
      <c r="F116" s="255" t="s">
        <v>155</v>
      </c>
      <c r="G116" s="267">
        <v>4.25</v>
      </c>
      <c r="H116" s="256">
        <f t="shared" si="23"/>
        <v>112818.375</v>
      </c>
      <c r="I116" s="256">
        <v>24</v>
      </c>
      <c r="J116" s="256"/>
      <c r="K116" s="256"/>
      <c r="L116" s="256">
        <f t="shared" si="53"/>
        <v>150424.5</v>
      </c>
      <c r="M116" s="256">
        <f t="shared" si="54"/>
        <v>0</v>
      </c>
      <c r="N116" s="256">
        <f t="shared" si="55"/>
        <v>0</v>
      </c>
      <c r="O116" s="256" t="s">
        <v>442</v>
      </c>
      <c r="P116" s="259">
        <f t="shared" si="61"/>
        <v>8848.5</v>
      </c>
      <c r="Q116" s="256"/>
      <c r="R116" s="256"/>
      <c r="S116" s="257"/>
      <c r="T116" s="257">
        <v>15</v>
      </c>
      <c r="U116" s="257"/>
      <c r="V116" s="257"/>
      <c r="W116" s="257"/>
      <c r="X116" s="257"/>
      <c r="Y116" s="257"/>
      <c r="Z116" s="257"/>
      <c r="AA116" s="257"/>
      <c r="AB116" s="257"/>
      <c r="AC116" s="257">
        <f t="shared" si="43"/>
        <v>0</v>
      </c>
      <c r="AD116" s="257">
        <f t="shared" si="44"/>
        <v>5899</v>
      </c>
      <c r="AE116" s="257">
        <f t="shared" si="45"/>
        <v>0</v>
      </c>
      <c r="AF116" s="257">
        <f t="shared" si="46"/>
        <v>0</v>
      </c>
      <c r="AG116" s="257">
        <f t="shared" si="47"/>
        <v>0</v>
      </c>
      <c r="AH116" s="257">
        <f t="shared" si="48"/>
        <v>0</v>
      </c>
      <c r="AI116" s="257">
        <f t="shared" si="49"/>
        <v>0</v>
      </c>
      <c r="AJ116" s="257">
        <f t="shared" si="50"/>
        <v>0</v>
      </c>
      <c r="AK116" s="257">
        <f t="shared" si="51"/>
        <v>0</v>
      </c>
      <c r="AL116" s="256">
        <f t="shared" si="52"/>
        <v>0</v>
      </c>
      <c r="AM116" s="256"/>
      <c r="AN116" s="256"/>
      <c r="AO116" s="256"/>
      <c r="AP116" s="256">
        <f t="shared" si="56"/>
        <v>0</v>
      </c>
      <c r="AQ116" s="256"/>
      <c r="AR116" s="256"/>
      <c r="AS116" s="256"/>
      <c r="AT116" s="256"/>
      <c r="AU116" s="256"/>
      <c r="AV116" s="256"/>
      <c r="AW116" s="256"/>
      <c r="AX116" s="256"/>
      <c r="AY116" s="256"/>
      <c r="AZ116" s="261">
        <v>24</v>
      </c>
      <c r="BA116" s="256">
        <v>0.35</v>
      </c>
      <c r="BB116" s="256">
        <f>H116/18*35%*(I116+J116+K116)</f>
        <v>52648.574999999997</v>
      </c>
      <c r="BC116" s="256"/>
      <c r="BD116" s="256"/>
      <c r="BE116" s="256"/>
      <c r="BF116" s="256">
        <v>24</v>
      </c>
      <c r="BG116" s="256">
        <f t="shared" si="57"/>
        <v>45127.35</v>
      </c>
      <c r="BH116" s="256"/>
      <c r="BI116" s="256"/>
      <c r="BJ116" s="256"/>
      <c r="BK116" s="256">
        <f t="shared" si="60"/>
        <v>0</v>
      </c>
      <c r="BL116" s="256">
        <f t="shared" si="58"/>
        <v>15042.45</v>
      </c>
      <c r="BM116" s="256">
        <f t="shared" si="40"/>
        <v>277990.375</v>
      </c>
      <c r="BN116" s="182"/>
      <c r="BO116" s="182"/>
    </row>
    <row r="117" spans="1:67" s="186" customFormat="1" ht="72.75" customHeight="1">
      <c r="A117" s="255" t="s">
        <v>443</v>
      </c>
      <c r="B117" s="255" t="s">
        <v>150</v>
      </c>
      <c r="C117" s="255" t="s">
        <v>444</v>
      </c>
      <c r="D117" s="255" t="s">
        <v>140</v>
      </c>
      <c r="E117" s="255" t="s">
        <v>116</v>
      </c>
      <c r="F117" s="255" t="s">
        <v>155</v>
      </c>
      <c r="G117" s="267">
        <v>4.25</v>
      </c>
      <c r="H117" s="256">
        <f t="shared" si="23"/>
        <v>112818.375</v>
      </c>
      <c r="I117" s="256">
        <v>24</v>
      </c>
      <c r="J117" s="256"/>
      <c r="K117" s="256"/>
      <c r="L117" s="256">
        <f t="shared" si="53"/>
        <v>150424.5</v>
      </c>
      <c r="M117" s="256">
        <f t="shared" si="54"/>
        <v>0</v>
      </c>
      <c r="N117" s="256">
        <f t="shared" si="55"/>
        <v>0</v>
      </c>
      <c r="O117" s="256" t="s">
        <v>431</v>
      </c>
      <c r="P117" s="259">
        <f t="shared" si="61"/>
        <v>8848.5</v>
      </c>
      <c r="Q117" s="256"/>
      <c r="R117" s="256"/>
      <c r="S117" s="257"/>
      <c r="T117" s="257">
        <v>15</v>
      </c>
      <c r="U117" s="257"/>
      <c r="V117" s="257"/>
      <c r="W117" s="257"/>
      <c r="X117" s="257"/>
      <c r="Y117" s="257"/>
      <c r="Z117" s="257"/>
      <c r="AA117" s="257"/>
      <c r="AB117" s="257"/>
      <c r="AC117" s="257">
        <f t="shared" si="43"/>
        <v>0</v>
      </c>
      <c r="AD117" s="257">
        <f t="shared" si="44"/>
        <v>5899</v>
      </c>
      <c r="AE117" s="257">
        <f t="shared" si="45"/>
        <v>0</v>
      </c>
      <c r="AF117" s="257">
        <f t="shared" si="46"/>
        <v>0</v>
      </c>
      <c r="AG117" s="257">
        <f t="shared" si="47"/>
        <v>0</v>
      </c>
      <c r="AH117" s="257">
        <f t="shared" si="48"/>
        <v>0</v>
      </c>
      <c r="AI117" s="257">
        <f t="shared" si="49"/>
        <v>0</v>
      </c>
      <c r="AJ117" s="257">
        <f t="shared" si="50"/>
        <v>0</v>
      </c>
      <c r="AK117" s="257">
        <f t="shared" si="51"/>
        <v>0</v>
      </c>
      <c r="AL117" s="256">
        <f t="shared" si="52"/>
        <v>0</v>
      </c>
      <c r="AM117" s="256" t="s">
        <v>445</v>
      </c>
      <c r="AN117" s="256">
        <f>17697*20%</f>
        <v>3539.4</v>
      </c>
      <c r="AO117" s="256"/>
      <c r="AP117" s="256">
        <f t="shared" si="56"/>
        <v>0</v>
      </c>
      <c r="AQ117" s="256"/>
      <c r="AR117" s="256"/>
      <c r="AS117" s="256"/>
      <c r="AT117" s="256"/>
      <c r="AU117" s="256"/>
      <c r="AV117" s="256"/>
      <c r="AW117" s="256"/>
      <c r="AX117" s="256"/>
      <c r="AY117" s="256"/>
      <c r="AZ117" s="261">
        <v>24</v>
      </c>
      <c r="BA117" s="256">
        <v>0.35</v>
      </c>
      <c r="BB117" s="256">
        <f t="shared" ref="BB117:BB119" si="62">H117/18*35%*(I117+J117+K117)</f>
        <v>52648.574999999997</v>
      </c>
      <c r="BC117" s="256"/>
      <c r="BD117" s="256"/>
      <c r="BE117" s="256"/>
      <c r="BF117" s="256">
        <v>24</v>
      </c>
      <c r="BG117" s="256">
        <f t="shared" si="57"/>
        <v>45127.35</v>
      </c>
      <c r="BH117" s="256"/>
      <c r="BI117" s="256"/>
      <c r="BJ117" s="256"/>
      <c r="BK117" s="256">
        <f t="shared" si="60"/>
        <v>0</v>
      </c>
      <c r="BL117" s="256">
        <f t="shared" si="58"/>
        <v>15042.45</v>
      </c>
      <c r="BM117" s="256">
        <f t="shared" si="40"/>
        <v>281529.77499999997</v>
      </c>
      <c r="BN117" s="182"/>
      <c r="BO117" s="182"/>
    </row>
    <row r="118" spans="1:67" s="186" customFormat="1" ht="72.75" customHeight="1">
      <c r="A118" s="255" t="s">
        <v>153</v>
      </c>
      <c r="B118" s="255" t="s">
        <v>150</v>
      </c>
      <c r="C118" s="255" t="s">
        <v>154</v>
      </c>
      <c r="D118" s="255" t="s">
        <v>140</v>
      </c>
      <c r="E118" s="255" t="s">
        <v>116</v>
      </c>
      <c r="F118" s="255" t="s">
        <v>155</v>
      </c>
      <c r="G118" s="267">
        <v>4.17</v>
      </c>
      <c r="H118" s="256">
        <f t="shared" si="23"/>
        <v>110694.73500000002</v>
      </c>
      <c r="I118" s="256">
        <v>22</v>
      </c>
      <c r="J118" s="256"/>
      <c r="K118" s="256"/>
      <c r="L118" s="256">
        <f t="shared" si="53"/>
        <v>135293.565</v>
      </c>
      <c r="M118" s="256">
        <f t="shared" si="54"/>
        <v>0</v>
      </c>
      <c r="N118" s="256">
        <f t="shared" si="55"/>
        <v>0</v>
      </c>
      <c r="O118" s="256" t="s">
        <v>340</v>
      </c>
      <c r="P118" s="259">
        <f t="shared" si="61"/>
        <v>8848.5</v>
      </c>
      <c r="Q118" s="256"/>
      <c r="R118" s="256"/>
      <c r="S118" s="257"/>
      <c r="T118" s="257">
        <v>15</v>
      </c>
      <c r="U118" s="257"/>
      <c r="V118" s="257"/>
      <c r="W118" s="257"/>
      <c r="X118" s="257"/>
      <c r="Y118" s="257"/>
      <c r="Z118" s="257"/>
      <c r="AA118" s="257"/>
      <c r="AB118" s="257"/>
      <c r="AC118" s="257">
        <f t="shared" si="43"/>
        <v>0</v>
      </c>
      <c r="AD118" s="257">
        <f t="shared" si="44"/>
        <v>5899</v>
      </c>
      <c r="AE118" s="257">
        <f t="shared" si="45"/>
        <v>0</v>
      </c>
      <c r="AF118" s="257">
        <f t="shared" si="46"/>
        <v>0</v>
      </c>
      <c r="AG118" s="257">
        <f t="shared" si="47"/>
        <v>0</v>
      </c>
      <c r="AH118" s="257">
        <f t="shared" si="48"/>
        <v>0</v>
      </c>
      <c r="AI118" s="257">
        <f t="shared" si="49"/>
        <v>0</v>
      </c>
      <c r="AJ118" s="257">
        <f t="shared" si="50"/>
        <v>0</v>
      </c>
      <c r="AK118" s="257">
        <f t="shared" si="51"/>
        <v>0</v>
      </c>
      <c r="AL118" s="256">
        <f t="shared" si="52"/>
        <v>0</v>
      </c>
      <c r="AM118" s="256"/>
      <c r="AN118" s="256"/>
      <c r="AO118" s="256"/>
      <c r="AP118" s="256">
        <f t="shared" si="56"/>
        <v>0</v>
      </c>
      <c r="AQ118" s="256"/>
      <c r="AR118" s="256"/>
      <c r="AS118" s="256"/>
      <c r="AT118" s="256"/>
      <c r="AU118" s="256"/>
      <c r="AV118" s="256"/>
      <c r="AW118" s="256"/>
      <c r="AX118" s="256"/>
      <c r="AY118" s="256"/>
      <c r="AZ118" s="256">
        <v>22</v>
      </c>
      <c r="BA118" s="256">
        <v>0.35</v>
      </c>
      <c r="BB118" s="256">
        <f t="shared" si="62"/>
        <v>47352.747750000002</v>
      </c>
      <c r="BC118" s="256"/>
      <c r="BD118" s="256"/>
      <c r="BE118" s="256"/>
      <c r="BF118" s="256">
        <v>22</v>
      </c>
      <c r="BG118" s="256">
        <f t="shared" si="57"/>
        <v>40588.069499999998</v>
      </c>
      <c r="BH118" s="256"/>
      <c r="BI118" s="256"/>
      <c r="BJ118" s="256"/>
      <c r="BK118" s="256">
        <f t="shared" si="60"/>
        <v>0</v>
      </c>
      <c r="BL118" s="256">
        <f t="shared" si="58"/>
        <v>13529.356500000002</v>
      </c>
      <c r="BM118" s="256">
        <f t="shared" si="40"/>
        <v>251511.23875000002</v>
      </c>
      <c r="BN118" s="182"/>
      <c r="BO118" s="182"/>
    </row>
    <row r="119" spans="1:67" s="186" customFormat="1" ht="72.75" customHeight="1">
      <c r="A119" s="255" t="s">
        <v>446</v>
      </c>
      <c r="B119" s="255" t="s">
        <v>150</v>
      </c>
      <c r="C119" s="255" t="s">
        <v>447</v>
      </c>
      <c r="D119" s="255" t="s">
        <v>140</v>
      </c>
      <c r="E119" s="255" t="s">
        <v>116</v>
      </c>
      <c r="F119" s="255" t="s">
        <v>155</v>
      </c>
      <c r="G119" s="267">
        <v>4.0999999999999996</v>
      </c>
      <c r="H119" s="256">
        <f t="shared" si="23"/>
        <v>108836.54999999999</v>
      </c>
      <c r="I119" s="256">
        <v>22</v>
      </c>
      <c r="J119" s="256"/>
      <c r="K119" s="256"/>
      <c r="L119" s="256">
        <f t="shared" si="53"/>
        <v>133022.44999999998</v>
      </c>
      <c r="M119" s="256">
        <f t="shared" si="54"/>
        <v>0</v>
      </c>
      <c r="N119" s="256">
        <f t="shared" si="55"/>
        <v>0</v>
      </c>
      <c r="O119" s="256" t="s">
        <v>448</v>
      </c>
      <c r="P119" s="259">
        <f t="shared" si="61"/>
        <v>8848.5</v>
      </c>
      <c r="Q119" s="256"/>
      <c r="R119" s="256"/>
      <c r="S119" s="257"/>
      <c r="T119" s="257">
        <v>15</v>
      </c>
      <c r="U119" s="257"/>
      <c r="V119" s="257"/>
      <c r="W119" s="257"/>
      <c r="X119" s="257"/>
      <c r="Y119" s="257"/>
      <c r="Z119" s="257"/>
      <c r="AA119" s="257"/>
      <c r="AB119" s="257"/>
      <c r="AC119" s="257">
        <f t="shared" si="43"/>
        <v>0</v>
      </c>
      <c r="AD119" s="257">
        <f t="shared" si="44"/>
        <v>5899</v>
      </c>
      <c r="AE119" s="257">
        <f t="shared" si="45"/>
        <v>0</v>
      </c>
      <c r="AF119" s="257">
        <f t="shared" si="46"/>
        <v>0</v>
      </c>
      <c r="AG119" s="257">
        <f t="shared" si="47"/>
        <v>0</v>
      </c>
      <c r="AH119" s="257">
        <f t="shared" si="48"/>
        <v>0</v>
      </c>
      <c r="AI119" s="257">
        <f t="shared" si="49"/>
        <v>0</v>
      </c>
      <c r="AJ119" s="257">
        <f t="shared" si="50"/>
        <v>0</v>
      </c>
      <c r="AK119" s="257">
        <f t="shared" si="51"/>
        <v>0</v>
      </c>
      <c r="AL119" s="256">
        <f t="shared" si="52"/>
        <v>0</v>
      </c>
      <c r="AM119" s="256"/>
      <c r="AN119" s="256"/>
      <c r="AO119" s="256"/>
      <c r="AP119" s="256">
        <f t="shared" si="56"/>
        <v>0</v>
      </c>
      <c r="AQ119" s="256"/>
      <c r="AR119" s="256"/>
      <c r="AS119" s="256"/>
      <c r="AT119" s="256"/>
      <c r="AU119" s="256"/>
      <c r="AV119" s="256"/>
      <c r="AW119" s="256"/>
      <c r="AX119" s="256"/>
      <c r="AY119" s="256"/>
      <c r="AZ119" s="256">
        <v>22</v>
      </c>
      <c r="BA119" s="256">
        <v>0.35</v>
      </c>
      <c r="BB119" s="256">
        <f t="shared" si="62"/>
        <v>46557.857499999991</v>
      </c>
      <c r="BC119" s="256"/>
      <c r="BD119" s="256"/>
      <c r="BE119" s="256"/>
      <c r="BF119" s="256">
        <v>22</v>
      </c>
      <c r="BG119" s="256">
        <f t="shared" si="57"/>
        <v>39906.734999999993</v>
      </c>
      <c r="BH119" s="256"/>
      <c r="BI119" s="256"/>
      <c r="BJ119" s="256"/>
      <c r="BK119" s="256">
        <f t="shared" si="60"/>
        <v>0</v>
      </c>
      <c r="BL119" s="256">
        <f t="shared" si="58"/>
        <v>13302.244999999999</v>
      </c>
      <c r="BM119" s="256">
        <f t="shared" si="40"/>
        <v>247536.78749999995</v>
      </c>
      <c r="BN119" s="182"/>
      <c r="BO119" s="182"/>
    </row>
    <row r="120" spans="1:67" s="186" customFormat="1" ht="72.75" customHeight="1">
      <c r="A120" s="255" t="s">
        <v>449</v>
      </c>
      <c r="B120" s="255" t="s">
        <v>150</v>
      </c>
      <c r="C120" s="255" t="s">
        <v>450</v>
      </c>
      <c r="D120" s="255" t="s">
        <v>140</v>
      </c>
      <c r="E120" s="255" t="s">
        <v>125</v>
      </c>
      <c r="F120" s="255" t="s">
        <v>451</v>
      </c>
      <c r="G120" s="267">
        <v>3.97</v>
      </c>
      <c r="H120" s="256">
        <f t="shared" si="23"/>
        <v>105385.63499999999</v>
      </c>
      <c r="I120" s="256">
        <v>20</v>
      </c>
      <c r="J120" s="256"/>
      <c r="K120" s="256"/>
      <c r="L120" s="256">
        <f t="shared" si="53"/>
        <v>117095.15</v>
      </c>
      <c r="M120" s="256">
        <f t="shared" si="54"/>
        <v>0</v>
      </c>
      <c r="N120" s="256">
        <f t="shared" si="55"/>
        <v>0</v>
      </c>
      <c r="O120" s="256" t="s">
        <v>452</v>
      </c>
      <c r="P120" s="259">
        <f t="shared" si="61"/>
        <v>8848.5</v>
      </c>
      <c r="Q120" s="256"/>
      <c r="R120" s="256"/>
      <c r="S120" s="257"/>
      <c r="T120" s="257">
        <v>14</v>
      </c>
      <c r="U120" s="257"/>
      <c r="V120" s="257"/>
      <c r="W120" s="257"/>
      <c r="X120" s="257"/>
      <c r="Y120" s="257"/>
      <c r="Z120" s="257"/>
      <c r="AA120" s="257"/>
      <c r="AB120" s="257"/>
      <c r="AC120" s="257">
        <f t="shared" si="43"/>
        <v>0</v>
      </c>
      <c r="AD120" s="257">
        <f t="shared" si="44"/>
        <v>5505.7333333333336</v>
      </c>
      <c r="AE120" s="257">
        <f t="shared" si="45"/>
        <v>0</v>
      </c>
      <c r="AF120" s="257">
        <f t="shared" si="46"/>
        <v>0</v>
      </c>
      <c r="AG120" s="257">
        <f t="shared" si="47"/>
        <v>0</v>
      </c>
      <c r="AH120" s="257">
        <f t="shared" si="48"/>
        <v>0</v>
      </c>
      <c r="AI120" s="257">
        <f t="shared" si="49"/>
        <v>0</v>
      </c>
      <c r="AJ120" s="257">
        <f t="shared" si="50"/>
        <v>0</v>
      </c>
      <c r="AK120" s="257">
        <f t="shared" si="51"/>
        <v>0</v>
      </c>
      <c r="AL120" s="256">
        <f t="shared" si="52"/>
        <v>0</v>
      </c>
      <c r="AM120" s="256"/>
      <c r="AN120" s="256"/>
      <c r="AO120" s="256"/>
      <c r="AP120" s="256">
        <f t="shared" si="56"/>
        <v>0</v>
      </c>
      <c r="AQ120" s="256"/>
      <c r="AR120" s="256"/>
      <c r="AS120" s="256" t="s">
        <v>305</v>
      </c>
      <c r="AT120" s="256">
        <f>2917*10</f>
        <v>29170</v>
      </c>
      <c r="AU120" s="256"/>
      <c r="AV120" s="256"/>
      <c r="AW120" s="259">
        <v>0.3</v>
      </c>
      <c r="AX120" s="256">
        <v>20</v>
      </c>
      <c r="AY120" s="256">
        <f>H120*30%/18*(I120+J120+K120)</f>
        <v>35128.544999999998</v>
      </c>
      <c r="AZ120" s="256"/>
      <c r="BA120" s="256"/>
      <c r="BB120" s="256"/>
      <c r="BC120" s="256"/>
      <c r="BD120" s="256"/>
      <c r="BE120" s="256"/>
      <c r="BF120" s="256">
        <v>20</v>
      </c>
      <c r="BG120" s="256">
        <f t="shared" si="57"/>
        <v>35128.544999999998</v>
      </c>
      <c r="BH120" s="256"/>
      <c r="BI120" s="256"/>
      <c r="BJ120" s="256"/>
      <c r="BK120" s="256">
        <f t="shared" si="60"/>
        <v>0</v>
      </c>
      <c r="BL120" s="256">
        <f t="shared" si="58"/>
        <v>11709.514999999999</v>
      </c>
      <c r="BM120" s="256">
        <f t="shared" si="40"/>
        <v>242585.98833333334</v>
      </c>
      <c r="BN120" s="182"/>
      <c r="BO120" s="182"/>
    </row>
    <row r="121" spans="1:67" s="186" customFormat="1" ht="72.75" customHeight="1">
      <c r="A121" s="262" t="s">
        <v>453</v>
      </c>
      <c r="B121" s="262" t="s">
        <v>150</v>
      </c>
      <c r="C121" s="262" t="s">
        <v>454</v>
      </c>
      <c r="D121" s="262" t="s">
        <v>140</v>
      </c>
      <c r="E121" s="262" t="s">
        <v>125</v>
      </c>
      <c r="F121" s="262" t="s">
        <v>451</v>
      </c>
      <c r="G121" s="267">
        <v>3.97</v>
      </c>
      <c r="H121" s="256">
        <f t="shared" si="23"/>
        <v>105385.63499999999</v>
      </c>
      <c r="I121" s="256"/>
      <c r="J121" s="256"/>
      <c r="K121" s="256">
        <v>2</v>
      </c>
      <c r="L121" s="256">
        <f t="shared" si="53"/>
        <v>0</v>
      </c>
      <c r="M121" s="256">
        <f t="shared" si="54"/>
        <v>0</v>
      </c>
      <c r="N121" s="256">
        <f t="shared" si="55"/>
        <v>11709.514999999999</v>
      </c>
      <c r="O121" s="256"/>
      <c r="P121" s="259"/>
      <c r="Q121" s="256"/>
      <c r="R121" s="256"/>
      <c r="S121" s="257"/>
      <c r="T121" s="257"/>
      <c r="U121" s="257"/>
      <c r="V121" s="257"/>
      <c r="W121" s="257"/>
      <c r="X121" s="257"/>
      <c r="Y121" s="257"/>
      <c r="Z121" s="257"/>
      <c r="AA121" s="257"/>
      <c r="AB121" s="257"/>
      <c r="AC121" s="257">
        <f t="shared" si="43"/>
        <v>0</v>
      </c>
      <c r="AD121" s="257">
        <f t="shared" si="44"/>
        <v>0</v>
      </c>
      <c r="AE121" s="257">
        <f t="shared" si="45"/>
        <v>0</v>
      </c>
      <c r="AF121" s="257">
        <f t="shared" si="46"/>
        <v>0</v>
      </c>
      <c r="AG121" s="257">
        <f t="shared" si="47"/>
        <v>0</v>
      </c>
      <c r="AH121" s="257">
        <f t="shared" si="48"/>
        <v>0</v>
      </c>
      <c r="AI121" s="257">
        <f t="shared" si="49"/>
        <v>0</v>
      </c>
      <c r="AJ121" s="257">
        <f t="shared" si="50"/>
        <v>0</v>
      </c>
      <c r="AK121" s="257">
        <f t="shared" si="51"/>
        <v>0</v>
      </c>
      <c r="AL121" s="256">
        <f t="shared" si="52"/>
        <v>0</v>
      </c>
      <c r="AM121" s="256"/>
      <c r="AN121" s="256"/>
      <c r="AO121" s="256"/>
      <c r="AP121" s="256">
        <f t="shared" si="56"/>
        <v>0</v>
      </c>
      <c r="AQ121" s="256"/>
      <c r="AR121" s="256"/>
      <c r="AS121" s="256"/>
      <c r="AT121" s="256"/>
      <c r="AU121" s="256"/>
      <c r="AV121" s="256"/>
      <c r="AW121" s="259"/>
      <c r="AX121" s="256"/>
      <c r="AY121" s="256"/>
      <c r="AZ121" s="256"/>
      <c r="BA121" s="256"/>
      <c r="BB121" s="256"/>
      <c r="BC121" s="256"/>
      <c r="BD121" s="256"/>
      <c r="BE121" s="256"/>
      <c r="BF121" s="256">
        <v>2</v>
      </c>
      <c r="BG121" s="256">
        <f t="shared" si="57"/>
        <v>3512.8544999999999</v>
      </c>
      <c r="BH121" s="256"/>
      <c r="BI121" s="256"/>
      <c r="BJ121" s="256"/>
      <c r="BK121" s="256">
        <f t="shared" si="60"/>
        <v>0</v>
      </c>
      <c r="BL121" s="256">
        <f t="shared" si="58"/>
        <v>1170.9514999999999</v>
      </c>
      <c r="BM121" s="256">
        <f t="shared" si="40"/>
        <v>16393.321</v>
      </c>
      <c r="BN121" s="182"/>
      <c r="BO121" s="182"/>
    </row>
    <row r="122" spans="1:67" s="186" customFormat="1" ht="72.75" customHeight="1">
      <c r="A122" s="262" t="s">
        <v>455</v>
      </c>
      <c r="B122" s="262" t="s">
        <v>150</v>
      </c>
      <c r="C122" s="262" t="s">
        <v>456</v>
      </c>
      <c r="D122" s="262" t="s">
        <v>140</v>
      </c>
      <c r="E122" s="262" t="s">
        <v>125</v>
      </c>
      <c r="F122" s="262" t="s">
        <v>451</v>
      </c>
      <c r="G122" s="267">
        <v>3.91</v>
      </c>
      <c r="H122" s="256">
        <f t="shared" si="23"/>
        <v>103792.905</v>
      </c>
      <c r="I122" s="256">
        <v>18</v>
      </c>
      <c r="J122" s="256"/>
      <c r="K122" s="256"/>
      <c r="L122" s="256">
        <f t="shared" si="53"/>
        <v>103792.905</v>
      </c>
      <c r="M122" s="256">
        <f t="shared" si="54"/>
        <v>0</v>
      </c>
      <c r="N122" s="256">
        <f t="shared" si="55"/>
        <v>0</v>
      </c>
      <c r="O122" s="256" t="s">
        <v>326</v>
      </c>
      <c r="P122" s="259">
        <f>17697*50%</f>
        <v>8848.5</v>
      </c>
      <c r="Q122" s="256"/>
      <c r="R122" s="256"/>
      <c r="S122" s="257"/>
      <c r="T122" s="257">
        <v>14</v>
      </c>
      <c r="U122" s="257"/>
      <c r="V122" s="257"/>
      <c r="W122" s="257"/>
      <c r="X122" s="257"/>
      <c r="Y122" s="257"/>
      <c r="Z122" s="257"/>
      <c r="AA122" s="257"/>
      <c r="AB122" s="257"/>
      <c r="AC122" s="257">
        <f t="shared" si="43"/>
        <v>0</v>
      </c>
      <c r="AD122" s="257">
        <f t="shared" si="44"/>
        <v>5505.7333333333336</v>
      </c>
      <c r="AE122" s="257">
        <f t="shared" si="45"/>
        <v>0</v>
      </c>
      <c r="AF122" s="257">
        <f t="shared" si="46"/>
        <v>0</v>
      </c>
      <c r="AG122" s="257">
        <f t="shared" si="47"/>
        <v>0</v>
      </c>
      <c r="AH122" s="257">
        <f t="shared" si="48"/>
        <v>0</v>
      </c>
      <c r="AI122" s="257">
        <f t="shared" si="49"/>
        <v>0</v>
      </c>
      <c r="AJ122" s="257">
        <f t="shared" si="50"/>
        <v>0</v>
      </c>
      <c r="AK122" s="257">
        <f t="shared" si="51"/>
        <v>0</v>
      </c>
      <c r="AL122" s="256">
        <f t="shared" si="52"/>
        <v>0</v>
      </c>
      <c r="AM122" s="256"/>
      <c r="AN122" s="256"/>
      <c r="AO122" s="256"/>
      <c r="AP122" s="256">
        <f t="shared" si="56"/>
        <v>0</v>
      </c>
      <c r="AQ122" s="256"/>
      <c r="AR122" s="256"/>
      <c r="AS122" s="256"/>
      <c r="AT122" s="256"/>
      <c r="AU122" s="256"/>
      <c r="AV122" s="256"/>
      <c r="AW122" s="256">
        <v>0.3</v>
      </c>
      <c r="AX122" s="256">
        <v>18</v>
      </c>
      <c r="AY122" s="256">
        <f>H122*30%/18*(I122+J122+K122)</f>
        <v>31137.871499999997</v>
      </c>
      <c r="AZ122" s="256"/>
      <c r="BA122" s="256"/>
      <c r="BB122" s="256"/>
      <c r="BC122" s="256"/>
      <c r="BD122" s="256"/>
      <c r="BE122" s="256"/>
      <c r="BF122" s="256">
        <v>18</v>
      </c>
      <c r="BG122" s="256">
        <f t="shared" si="57"/>
        <v>31137.871499999997</v>
      </c>
      <c r="BH122" s="256"/>
      <c r="BI122" s="256"/>
      <c r="BJ122" s="256"/>
      <c r="BK122" s="256">
        <f t="shared" si="60"/>
        <v>0</v>
      </c>
      <c r="BL122" s="256">
        <f t="shared" si="58"/>
        <v>10379.290500000001</v>
      </c>
      <c r="BM122" s="256">
        <f t="shared" si="40"/>
        <v>190802.17183333336</v>
      </c>
      <c r="BN122" s="182"/>
      <c r="BO122" s="182"/>
    </row>
    <row r="123" spans="1:67" s="186" customFormat="1" ht="72.75" customHeight="1">
      <c r="A123" s="262" t="s">
        <v>457</v>
      </c>
      <c r="B123" s="262" t="s">
        <v>150</v>
      </c>
      <c r="C123" s="262" t="s">
        <v>142</v>
      </c>
      <c r="D123" s="262" t="s">
        <v>140</v>
      </c>
      <c r="E123" s="262" t="s">
        <v>125</v>
      </c>
      <c r="F123" s="262" t="s">
        <v>451</v>
      </c>
      <c r="G123" s="255">
        <v>3.85</v>
      </c>
      <c r="H123" s="256">
        <f t="shared" si="23"/>
        <v>102200.17499999999</v>
      </c>
      <c r="I123" s="256">
        <v>19</v>
      </c>
      <c r="J123" s="256"/>
      <c r="K123" s="256"/>
      <c r="L123" s="256">
        <f t="shared" si="53"/>
        <v>107877.96249999999</v>
      </c>
      <c r="M123" s="256">
        <f t="shared" si="54"/>
        <v>0</v>
      </c>
      <c r="N123" s="256">
        <f t="shared" si="55"/>
        <v>0</v>
      </c>
      <c r="O123" s="256" t="s">
        <v>458</v>
      </c>
      <c r="P123" s="259">
        <f>17697*50%</f>
        <v>8848.5</v>
      </c>
      <c r="Q123" s="256"/>
      <c r="R123" s="256"/>
      <c r="S123" s="257"/>
      <c r="T123" s="257">
        <v>15</v>
      </c>
      <c r="U123" s="257"/>
      <c r="V123" s="257"/>
      <c r="W123" s="257"/>
      <c r="X123" s="257"/>
      <c r="Y123" s="257"/>
      <c r="Z123" s="257"/>
      <c r="AA123" s="257"/>
      <c r="AB123" s="257"/>
      <c r="AC123" s="257">
        <f t="shared" si="43"/>
        <v>0</v>
      </c>
      <c r="AD123" s="257">
        <f t="shared" si="44"/>
        <v>5899</v>
      </c>
      <c r="AE123" s="257">
        <f t="shared" si="45"/>
        <v>0</v>
      </c>
      <c r="AF123" s="257">
        <f t="shared" si="46"/>
        <v>0</v>
      </c>
      <c r="AG123" s="257">
        <f t="shared" si="47"/>
        <v>0</v>
      </c>
      <c r="AH123" s="257">
        <f t="shared" si="48"/>
        <v>0</v>
      </c>
      <c r="AI123" s="257">
        <f t="shared" si="49"/>
        <v>0</v>
      </c>
      <c r="AJ123" s="257">
        <f t="shared" si="50"/>
        <v>0</v>
      </c>
      <c r="AK123" s="257">
        <f t="shared" si="51"/>
        <v>0</v>
      </c>
      <c r="AL123" s="256">
        <f t="shared" si="52"/>
        <v>0</v>
      </c>
      <c r="AM123" s="256"/>
      <c r="AN123" s="256"/>
      <c r="AO123" s="256"/>
      <c r="AP123" s="256">
        <f t="shared" si="56"/>
        <v>0</v>
      </c>
      <c r="AQ123" s="256"/>
      <c r="AR123" s="256"/>
      <c r="AS123" s="256"/>
      <c r="AT123" s="256"/>
      <c r="AU123" s="256"/>
      <c r="AV123" s="256"/>
      <c r="AW123" s="256">
        <v>0.3</v>
      </c>
      <c r="AX123" s="256">
        <v>19</v>
      </c>
      <c r="AY123" s="256">
        <f>H123*30%/18*(I123+J123+K123)</f>
        <v>32363.388749999991</v>
      </c>
      <c r="AZ123" s="256"/>
      <c r="BA123" s="256"/>
      <c r="BB123" s="256"/>
      <c r="BC123" s="256"/>
      <c r="BD123" s="256"/>
      <c r="BE123" s="256"/>
      <c r="BF123" s="256">
        <v>19</v>
      </c>
      <c r="BG123" s="256">
        <f t="shared" si="57"/>
        <v>32363.388749999998</v>
      </c>
      <c r="BH123" s="256"/>
      <c r="BI123" s="256"/>
      <c r="BJ123" s="256"/>
      <c r="BK123" s="256">
        <f t="shared" si="60"/>
        <v>0</v>
      </c>
      <c r="BL123" s="256">
        <f t="shared" si="58"/>
        <v>10787.796249999999</v>
      </c>
      <c r="BM123" s="256">
        <f t="shared" si="40"/>
        <v>198140.03625</v>
      </c>
      <c r="BN123" s="182"/>
      <c r="BO123" s="182"/>
    </row>
    <row r="124" spans="1:67" s="17" customFormat="1" ht="72.75" customHeight="1">
      <c r="A124" s="262" t="s">
        <v>459</v>
      </c>
      <c r="B124" s="262" t="s">
        <v>150</v>
      </c>
      <c r="C124" s="262" t="s">
        <v>144</v>
      </c>
      <c r="D124" s="262" t="s">
        <v>140</v>
      </c>
      <c r="E124" s="262" t="s">
        <v>125</v>
      </c>
      <c r="F124" s="262" t="s">
        <v>451</v>
      </c>
      <c r="G124" s="262">
        <v>3.79</v>
      </c>
      <c r="H124" s="256">
        <f t="shared" si="23"/>
        <v>100607.44500000001</v>
      </c>
      <c r="I124" s="259">
        <v>19</v>
      </c>
      <c r="J124" s="259"/>
      <c r="K124" s="259"/>
      <c r="L124" s="256">
        <f t="shared" si="53"/>
        <v>106196.74750000001</v>
      </c>
      <c r="M124" s="256">
        <f t="shared" si="54"/>
        <v>0</v>
      </c>
      <c r="N124" s="256">
        <f t="shared" si="55"/>
        <v>0</v>
      </c>
      <c r="O124" s="259" t="s">
        <v>460</v>
      </c>
      <c r="P124" s="259">
        <f>17697*50%</f>
        <v>8848.5</v>
      </c>
      <c r="Q124" s="259"/>
      <c r="R124" s="259"/>
      <c r="S124" s="263"/>
      <c r="T124" s="263">
        <v>15</v>
      </c>
      <c r="U124" s="263"/>
      <c r="V124" s="263"/>
      <c r="W124" s="263"/>
      <c r="X124" s="263"/>
      <c r="Y124" s="263"/>
      <c r="Z124" s="263"/>
      <c r="AA124" s="263"/>
      <c r="AB124" s="263"/>
      <c r="AC124" s="257">
        <f t="shared" si="43"/>
        <v>0</v>
      </c>
      <c r="AD124" s="257">
        <f t="shared" si="44"/>
        <v>5899</v>
      </c>
      <c r="AE124" s="257">
        <f t="shared" si="45"/>
        <v>0</v>
      </c>
      <c r="AF124" s="257">
        <f t="shared" si="46"/>
        <v>0</v>
      </c>
      <c r="AG124" s="257">
        <f t="shared" si="47"/>
        <v>0</v>
      </c>
      <c r="AH124" s="257">
        <f t="shared" si="48"/>
        <v>0</v>
      </c>
      <c r="AI124" s="257">
        <f t="shared" si="49"/>
        <v>0</v>
      </c>
      <c r="AJ124" s="257">
        <f t="shared" si="50"/>
        <v>0</v>
      </c>
      <c r="AK124" s="257">
        <f t="shared" si="51"/>
        <v>0</v>
      </c>
      <c r="AL124" s="256">
        <f t="shared" si="52"/>
        <v>0</v>
      </c>
      <c r="AM124" s="259"/>
      <c r="AN124" s="259"/>
      <c r="AO124" s="259"/>
      <c r="AP124" s="256">
        <f t="shared" si="56"/>
        <v>0</v>
      </c>
      <c r="AQ124" s="259"/>
      <c r="AR124" s="259"/>
      <c r="AS124" s="259"/>
      <c r="AT124" s="259"/>
      <c r="AU124" s="259"/>
      <c r="AV124" s="259"/>
      <c r="AW124" s="259">
        <v>0.3</v>
      </c>
      <c r="AX124" s="259">
        <v>19</v>
      </c>
      <c r="AY124" s="256">
        <f>H124*30%/18*(I124+J124+K124)</f>
        <v>31859.024250000002</v>
      </c>
      <c r="AZ124" s="259"/>
      <c r="BA124" s="259"/>
      <c r="BB124" s="259"/>
      <c r="BC124" s="259"/>
      <c r="BD124" s="259"/>
      <c r="BE124" s="259"/>
      <c r="BF124" s="259">
        <v>19</v>
      </c>
      <c r="BG124" s="256">
        <f t="shared" si="57"/>
        <v>31859.024250000002</v>
      </c>
      <c r="BH124" s="259"/>
      <c r="BI124" s="259"/>
      <c r="BJ124" s="259"/>
      <c r="BK124" s="256">
        <f t="shared" si="60"/>
        <v>0</v>
      </c>
      <c r="BL124" s="256">
        <f t="shared" si="58"/>
        <v>10619.674750000002</v>
      </c>
      <c r="BM124" s="256">
        <f t="shared" si="40"/>
        <v>195281.97075000004</v>
      </c>
      <c r="BN124" s="188"/>
      <c r="BO124" s="188"/>
    </row>
    <row r="125" spans="1:67" s="186" customFormat="1" ht="72.75" customHeight="1">
      <c r="A125" s="262" t="s">
        <v>461</v>
      </c>
      <c r="B125" s="262" t="s">
        <v>150</v>
      </c>
      <c r="C125" s="262" t="s">
        <v>462</v>
      </c>
      <c r="D125" s="262" t="s">
        <v>140</v>
      </c>
      <c r="E125" s="262" t="s">
        <v>133</v>
      </c>
      <c r="F125" s="262" t="s">
        <v>157</v>
      </c>
      <c r="G125" s="255">
        <v>3.73</v>
      </c>
      <c r="H125" s="256">
        <f t="shared" si="23"/>
        <v>99014.714999999997</v>
      </c>
      <c r="I125" s="256">
        <v>27</v>
      </c>
      <c r="J125" s="256"/>
      <c r="K125" s="256"/>
      <c r="L125" s="256">
        <f t="shared" si="53"/>
        <v>148522.07250000001</v>
      </c>
      <c r="M125" s="256">
        <f t="shared" si="54"/>
        <v>0</v>
      </c>
      <c r="N125" s="256">
        <f t="shared" si="55"/>
        <v>0</v>
      </c>
      <c r="O125" s="256" t="s">
        <v>257</v>
      </c>
      <c r="P125" s="259">
        <f>17697*50%</f>
        <v>8848.5</v>
      </c>
      <c r="Q125" s="256"/>
      <c r="R125" s="256"/>
      <c r="S125" s="257"/>
      <c r="T125" s="257">
        <v>27</v>
      </c>
      <c r="U125" s="257"/>
      <c r="V125" s="257"/>
      <c r="W125" s="257"/>
      <c r="X125" s="257"/>
      <c r="Y125" s="257"/>
      <c r="Z125" s="257"/>
      <c r="AA125" s="257"/>
      <c r="AB125" s="257"/>
      <c r="AC125" s="257">
        <f t="shared" si="43"/>
        <v>0</v>
      </c>
      <c r="AD125" s="257">
        <f t="shared" si="44"/>
        <v>10618.199999999999</v>
      </c>
      <c r="AE125" s="257">
        <f t="shared" si="45"/>
        <v>0</v>
      </c>
      <c r="AF125" s="257">
        <f t="shared" si="46"/>
        <v>0</v>
      </c>
      <c r="AG125" s="257">
        <f t="shared" si="47"/>
        <v>0</v>
      </c>
      <c r="AH125" s="257">
        <f t="shared" si="48"/>
        <v>0</v>
      </c>
      <c r="AI125" s="257">
        <f t="shared" si="49"/>
        <v>0</v>
      </c>
      <c r="AJ125" s="257">
        <f t="shared" si="50"/>
        <v>0</v>
      </c>
      <c r="AK125" s="257">
        <f t="shared" si="51"/>
        <v>0</v>
      </c>
      <c r="AL125" s="256">
        <f t="shared" si="52"/>
        <v>0</v>
      </c>
      <c r="AM125" s="256"/>
      <c r="AN125" s="256"/>
      <c r="AO125" s="256">
        <v>18</v>
      </c>
      <c r="AP125" s="256">
        <f t="shared" si="56"/>
        <v>3539.3999999999996</v>
      </c>
      <c r="AQ125" s="256"/>
      <c r="AR125" s="256"/>
      <c r="AS125" s="256"/>
      <c r="AT125" s="256"/>
      <c r="AU125" s="256"/>
      <c r="AV125" s="256"/>
      <c r="AW125" s="256"/>
      <c r="AX125" s="256"/>
      <c r="AY125" s="256"/>
      <c r="AZ125" s="256"/>
      <c r="BA125" s="256"/>
      <c r="BB125" s="256"/>
      <c r="BC125" s="256"/>
      <c r="BD125" s="256"/>
      <c r="BE125" s="256"/>
      <c r="BF125" s="256">
        <v>27</v>
      </c>
      <c r="BG125" s="256">
        <f t="shared" si="57"/>
        <v>44556.621749999998</v>
      </c>
      <c r="BH125" s="256"/>
      <c r="BI125" s="256"/>
      <c r="BJ125" s="256"/>
      <c r="BK125" s="256">
        <f t="shared" si="60"/>
        <v>0</v>
      </c>
      <c r="BL125" s="256">
        <f t="shared" si="58"/>
        <v>14852.207250000001</v>
      </c>
      <c r="BM125" s="256">
        <f t="shared" si="40"/>
        <v>230937.00150000001</v>
      </c>
      <c r="BN125" s="182"/>
      <c r="BO125" s="182"/>
    </row>
    <row r="126" spans="1:67" s="17" customFormat="1" ht="72.75" customHeight="1">
      <c r="A126" s="262" t="s">
        <v>463</v>
      </c>
      <c r="B126" s="262" t="s">
        <v>150</v>
      </c>
      <c r="C126" s="262" t="s">
        <v>147</v>
      </c>
      <c r="D126" s="262" t="s">
        <v>129</v>
      </c>
      <c r="E126" s="262" t="s">
        <v>133</v>
      </c>
      <c r="F126" s="262" t="s">
        <v>157</v>
      </c>
      <c r="G126" s="262">
        <v>3.36</v>
      </c>
      <c r="H126" s="256">
        <f t="shared" si="23"/>
        <v>89192.88</v>
      </c>
      <c r="I126" s="259">
        <v>18</v>
      </c>
      <c r="J126" s="259"/>
      <c r="K126" s="259"/>
      <c r="L126" s="256">
        <f t="shared" si="53"/>
        <v>89192.88</v>
      </c>
      <c r="M126" s="256">
        <f t="shared" si="54"/>
        <v>0</v>
      </c>
      <c r="N126" s="256">
        <f t="shared" si="55"/>
        <v>0</v>
      </c>
      <c r="O126" s="259"/>
      <c r="P126" s="259"/>
      <c r="Q126" s="259"/>
      <c r="R126" s="259"/>
      <c r="S126" s="263"/>
      <c r="T126" s="263"/>
      <c r="U126" s="263"/>
      <c r="V126" s="263"/>
      <c r="W126" s="263"/>
      <c r="X126" s="263"/>
      <c r="Y126" s="263"/>
      <c r="Z126" s="263"/>
      <c r="AA126" s="263"/>
      <c r="AB126" s="263"/>
      <c r="AC126" s="257">
        <f t="shared" si="43"/>
        <v>0</v>
      </c>
      <c r="AD126" s="257">
        <f t="shared" si="44"/>
        <v>0</v>
      </c>
      <c r="AE126" s="257">
        <f t="shared" si="45"/>
        <v>0</v>
      </c>
      <c r="AF126" s="257">
        <f t="shared" si="46"/>
        <v>0</v>
      </c>
      <c r="AG126" s="257">
        <f t="shared" si="47"/>
        <v>0</v>
      </c>
      <c r="AH126" s="257">
        <f t="shared" si="48"/>
        <v>0</v>
      </c>
      <c r="AI126" s="257">
        <f t="shared" si="49"/>
        <v>0</v>
      </c>
      <c r="AJ126" s="257">
        <f t="shared" si="50"/>
        <v>0</v>
      </c>
      <c r="AK126" s="257">
        <f t="shared" si="51"/>
        <v>0</v>
      </c>
      <c r="AL126" s="256">
        <f t="shared" si="52"/>
        <v>0</v>
      </c>
      <c r="AM126" s="259"/>
      <c r="AN126" s="259"/>
      <c r="AO126" s="259">
        <v>2</v>
      </c>
      <c r="AP126" s="256">
        <f t="shared" si="56"/>
        <v>393.26666666666665</v>
      </c>
      <c r="AQ126" s="259"/>
      <c r="AR126" s="259"/>
      <c r="AS126" s="259"/>
      <c r="AT126" s="259"/>
      <c r="AU126" s="259"/>
      <c r="AV126" s="259"/>
      <c r="AW126" s="259"/>
      <c r="AX126" s="259"/>
      <c r="AY126" s="259"/>
      <c r="AZ126" s="259"/>
      <c r="BA126" s="259"/>
      <c r="BB126" s="259"/>
      <c r="BC126" s="259"/>
      <c r="BD126" s="259"/>
      <c r="BE126" s="259"/>
      <c r="BF126" s="259">
        <v>18</v>
      </c>
      <c r="BG126" s="256">
        <f t="shared" si="57"/>
        <v>26757.864000000001</v>
      </c>
      <c r="BH126" s="259"/>
      <c r="BI126" s="259"/>
      <c r="BJ126" s="259">
        <v>2</v>
      </c>
      <c r="BK126" s="256">
        <f t="shared" si="60"/>
        <v>786.5333333333333</v>
      </c>
      <c r="BL126" s="256">
        <f t="shared" si="58"/>
        <v>8919.2880000000005</v>
      </c>
      <c r="BM126" s="256">
        <f t="shared" si="40"/>
        <v>126049.83200000001</v>
      </c>
      <c r="BN126" s="188"/>
      <c r="BO126" s="188"/>
    </row>
    <row r="127" spans="1:67" s="17" customFormat="1" ht="72.75" customHeight="1">
      <c r="A127" s="262" t="s">
        <v>156</v>
      </c>
      <c r="B127" s="262" t="s">
        <v>150</v>
      </c>
      <c r="C127" s="262" t="s">
        <v>147</v>
      </c>
      <c r="D127" s="262" t="s">
        <v>129</v>
      </c>
      <c r="E127" s="262" t="s">
        <v>133</v>
      </c>
      <c r="F127" s="262" t="s">
        <v>157</v>
      </c>
      <c r="G127" s="262">
        <v>3.36</v>
      </c>
      <c r="H127" s="256">
        <f t="shared" si="23"/>
        <v>89192.88</v>
      </c>
      <c r="I127" s="259">
        <v>16</v>
      </c>
      <c r="J127" s="259">
        <v>3</v>
      </c>
      <c r="K127" s="259"/>
      <c r="L127" s="256">
        <f t="shared" si="53"/>
        <v>79282.559999999998</v>
      </c>
      <c r="M127" s="256">
        <f t="shared" si="54"/>
        <v>14865.48</v>
      </c>
      <c r="N127" s="256">
        <f t="shared" si="55"/>
        <v>0</v>
      </c>
      <c r="O127" s="259"/>
      <c r="P127" s="259"/>
      <c r="Q127" s="259"/>
      <c r="R127" s="259"/>
      <c r="S127" s="263"/>
      <c r="T127" s="263"/>
      <c r="U127" s="263">
        <v>3</v>
      </c>
      <c r="V127" s="263"/>
      <c r="W127" s="263"/>
      <c r="X127" s="263"/>
      <c r="Y127" s="263"/>
      <c r="Z127" s="263"/>
      <c r="AA127" s="263"/>
      <c r="AB127" s="263"/>
      <c r="AC127" s="257">
        <f t="shared" si="43"/>
        <v>0</v>
      </c>
      <c r="AD127" s="257">
        <f t="shared" si="44"/>
        <v>0</v>
      </c>
      <c r="AE127" s="257">
        <f t="shared" si="45"/>
        <v>589.9</v>
      </c>
      <c r="AF127" s="257">
        <f t="shared" si="46"/>
        <v>0</v>
      </c>
      <c r="AG127" s="257">
        <f t="shared" si="47"/>
        <v>0</v>
      </c>
      <c r="AH127" s="257">
        <f t="shared" si="48"/>
        <v>0</v>
      </c>
      <c r="AI127" s="257">
        <f t="shared" si="49"/>
        <v>0</v>
      </c>
      <c r="AJ127" s="257">
        <f t="shared" si="50"/>
        <v>0</v>
      </c>
      <c r="AK127" s="257">
        <f t="shared" si="51"/>
        <v>0</v>
      </c>
      <c r="AL127" s="256">
        <f t="shared" si="52"/>
        <v>0</v>
      </c>
      <c r="AM127" s="259"/>
      <c r="AN127" s="259"/>
      <c r="AO127" s="259">
        <v>8</v>
      </c>
      <c r="AP127" s="256">
        <f t="shared" si="56"/>
        <v>1573.0666666666666</v>
      </c>
      <c r="AQ127" s="259"/>
      <c r="AR127" s="259"/>
      <c r="AS127" s="259"/>
      <c r="AT127" s="259"/>
      <c r="AU127" s="259"/>
      <c r="AV127" s="259"/>
      <c r="AW127" s="259"/>
      <c r="AX127" s="259"/>
      <c r="AY127" s="259"/>
      <c r="AZ127" s="259"/>
      <c r="BA127" s="259"/>
      <c r="BB127" s="259"/>
      <c r="BC127" s="259"/>
      <c r="BD127" s="259"/>
      <c r="BE127" s="259"/>
      <c r="BF127" s="259">
        <v>19</v>
      </c>
      <c r="BG127" s="256">
        <f t="shared" si="57"/>
        <v>28244.411999999997</v>
      </c>
      <c r="BH127" s="259"/>
      <c r="BI127" s="259"/>
      <c r="BJ127" s="259"/>
      <c r="BK127" s="256">
        <f t="shared" si="60"/>
        <v>0</v>
      </c>
      <c r="BL127" s="256">
        <f t="shared" si="58"/>
        <v>9414.8040000000001</v>
      </c>
      <c r="BM127" s="256">
        <f t="shared" si="40"/>
        <v>133970.22266666664</v>
      </c>
      <c r="BN127" s="188"/>
      <c r="BO127" s="188"/>
    </row>
    <row r="128" spans="1:67" s="186" customFormat="1" ht="72.75" customHeight="1">
      <c r="A128" s="255" t="s">
        <v>464</v>
      </c>
      <c r="B128" s="255" t="s">
        <v>103</v>
      </c>
      <c r="C128" s="255" t="s">
        <v>465</v>
      </c>
      <c r="D128" s="255" t="s">
        <v>109</v>
      </c>
      <c r="E128" s="255" t="s">
        <v>103</v>
      </c>
      <c r="F128" s="255" t="s">
        <v>106</v>
      </c>
      <c r="G128" s="267">
        <v>5.41</v>
      </c>
      <c r="H128" s="256">
        <f t="shared" si="23"/>
        <v>143611.155</v>
      </c>
      <c r="I128" s="256"/>
      <c r="J128" s="256">
        <v>24</v>
      </c>
      <c r="K128" s="256">
        <v>3</v>
      </c>
      <c r="L128" s="256">
        <f t="shared" si="53"/>
        <v>0</v>
      </c>
      <c r="M128" s="256">
        <f t="shared" si="54"/>
        <v>191481.54</v>
      </c>
      <c r="N128" s="256">
        <f t="shared" si="55"/>
        <v>23935.192500000001</v>
      </c>
      <c r="O128" s="256"/>
      <c r="P128" s="256"/>
      <c r="Q128" s="256"/>
      <c r="R128" s="256"/>
      <c r="S128" s="257"/>
      <c r="T128" s="257"/>
      <c r="U128" s="257"/>
      <c r="V128" s="257"/>
      <c r="W128" s="257">
        <v>21</v>
      </c>
      <c r="X128" s="257">
        <v>3</v>
      </c>
      <c r="Y128" s="257"/>
      <c r="Z128" s="257"/>
      <c r="AA128" s="257"/>
      <c r="AB128" s="257">
        <v>1</v>
      </c>
      <c r="AC128" s="257">
        <f t="shared" si="43"/>
        <v>0</v>
      </c>
      <c r="AD128" s="257">
        <f t="shared" si="44"/>
        <v>0</v>
      </c>
      <c r="AE128" s="257">
        <f t="shared" si="45"/>
        <v>0</v>
      </c>
      <c r="AF128" s="257">
        <f t="shared" si="46"/>
        <v>0</v>
      </c>
      <c r="AG128" s="257">
        <f t="shared" si="47"/>
        <v>5161.625</v>
      </c>
      <c r="AH128" s="257">
        <f t="shared" si="48"/>
        <v>1474.75</v>
      </c>
      <c r="AI128" s="257">
        <f t="shared" si="49"/>
        <v>0</v>
      </c>
      <c r="AJ128" s="257">
        <f t="shared" si="50"/>
        <v>0</v>
      </c>
      <c r="AK128" s="257">
        <f t="shared" si="51"/>
        <v>0</v>
      </c>
      <c r="AL128" s="256">
        <f t="shared" si="52"/>
        <v>491.58333333333331</v>
      </c>
      <c r="AM128" s="256"/>
      <c r="AN128" s="256"/>
      <c r="AO128" s="256"/>
      <c r="AP128" s="256">
        <f t="shared" si="56"/>
        <v>0</v>
      </c>
      <c r="AQ128" s="256"/>
      <c r="AR128" s="256"/>
      <c r="AS128" s="256"/>
      <c r="AT128" s="256"/>
      <c r="AU128" s="256"/>
      <c r="AV128" s="256"/>
      <c r="AW128" s="256"/>
      <c r="AX128" s="256"/>
      <c r="AY128" s="256"/>
      <c r="AZ128" s="256"/>
      <c r="BA128" s="256"/>
      <c r="BB128" s="256"/>
      <c r="BC128" s="261">
        <v>27</v>
      </c>
      <c r="BD128" s="256"/>
      <c r="BE128" s="259">
        <f t="shared" ref="BE128:BE131" si="63">H128/18*40%*(I128+J128+K128)</f>
        <v>86166.693000000014</v>
      </c>
      <c r="BF128" s="256">
        <v>27</v>
      </c>
      <c r="BG128" s="256">
        <f t="shared" si="57"/>
        <v>64625.019749999999</v>
      </c>
      <c r="BH128" s="256"/>
      <c r="BI128" s="256"/>
      <c r="BJ128" s="256"/>
      <c r="BK128" s="256">
        <f t="shared" si="60"/>
        <v>0</v>
      </c>
      <c r="BL128" s="256">
        <f t="shared" si="58"/>
        <v>21541.673250000003</v>
      </c>
      <c r="BM128" s="256">
        <f t="shared" si="40"/>
        <v>394878.07683333335</v>
      </c>
      <c r="BN128" s="182"/>
      <c r="BO128" s="182"/>
    </row>
    <row r="129" spans="1:67" s="186" customFormat="1" ht="72.75" customHeight="1">
      <c r="A129" s="255" t="s">
        <v>464</v>
      </c>
      <c r="B129" s="255" t="s">
        <v>103</v>
      </c>
      <c r="C129" s="255" t="s">
        <v>466</v>
      </c>
      <c r="D129" s="192" t="s">
        <v>249</v>
      </c>
      <c r="E129" s="255" t="s">
        <v>103</v>
      </c>
      <c r="F129" s="255" t="s">
        <v>106</v>
      </c>
      <c r="G129" s="267">
        <v>5.41</v>
      </c>
      <c r="H129" s="256">
        <f t="shared" si="23"/>
        <v>143611.155</v>
      </c>
      <c r="I129" s="256"/>
      <c r="J129" s="256">
        <v>24</v>
      </c>
      <c r="K129" s="256"/>
      <c r="L129" s="256">
        <f t="shared" si="53"/>
        <v>0</v>
      </c>
      <c r="M129" s="256">
        <f t="shared" si="54"/>
        <v>191481.54</v>
      </c>
      <c r="N129" s="256">
        <f t="shared" si="55"/>
        <v>0</v>
      </c>
      <c r="O129" s="256"/>
      <c r="P129" s="256"/>
      <c r="Q129" s="256"/>
      <c r="R129" s="256"/>
      <c r="S129" s="257"/>
      <c r="T129" s="257"/>
      <c r="U129" s="257"/>
      <c r="V129" s="257"/>
      <c r="W129" s="257"/>
      <c r="X129" s="257"/>
      <c r="Y129" s="257"/>
      <c r="Z129" s="257"/>
      <c r="AA129" s="257"/>
      <c r="AB129" s="257"/>
      <c r="AC129" s="257">
        <f t="shared" si="43"/>
        <v>0</v>
      </c>
      <c r="AD129" s="257">
        <f t="shared" si="44"/>
        <v>0</v>
      </c>
      <c r="AE129" s="257">
        <f t="shared" si="45"/>
        <v>0</v>
      </c>
      <c r="AF129" s="257">
        <f t="shared" si="46"/>
        <v>0</v>
      </c>
      <c r="AG129" s="257">
        <f t="shared" si="47"/>
        <v>0</v>
      </c>
      <c r="AH129" s="257">
        <f t="shared" si="48"/>
        <v>0</v>
      </c>
      <c r="AI129" s="257">
        <f t="shared" si="49"/>
        <v>0</v>
      </c>
      <c r="AJ129" s="257">
        <f t="shared" si="50"/>
        <v>0</v>
      </c>
      <c r="AK129" s="257">
        <f t="shared" si="51"/>
        <v>0</v>
      </c>
      <c r="AL129" s="256">
        <f t="shared" si="52"/>
        <v>0</v>
      </c>
      <c r="AM129" s="256"/>
      <c r="AN129" s="256"/>
      <c r="AO129" s="256"/>
      <c r="AP129" s="256">
        <f t="shared" si="56"/>
        <v>0</v>
      </c>
      <c r="AQ129" s="256"/>
      <c r="AR129" s="256"/>
      <c r="AS129" s="256"/>
      <c r="AT129" s="256"/>
      <c r="AU129" s="256"/>
      <c r="AV129" s="256"/>
      <c r="AW129" s="256"/>
      <c r="AX129" s="256"/>
      <c r="AY129" s="256"/>
      <c r="AZ129" s="256"/>
      <c r="BA129" s="256"/>
      <c r="BB129" s="256"/>
      <c r="BC129" s="261"/>
      <c r="BD129" s="256"/>
      <c r="BE129" s="259"/>
      <c r="BF129" s="256">
        <v>24</v>
      </c>
      <c r="BG129" s="256">
        <f t="shared" si="57"/>
        <v>57444.462</v>
      </c>
      <c r="BH129" s="256"/>
      <c r="BI129" s="256"/>
      <c r="BJ129" s="256"/>
      <c r="BK129" s="256">
        <f t="shared" si="60"/>
        <v>0</v>
      </c>
      <c r="BL129" s="256">
        <f t="shared" si="58"/>
        <v>19148.154000000002</v>
      </c>
      <c r="BM129" s="256">
        <f t="shared" si="40"/>
        <v>268074.15600000002</v>
      </c>
      <c r="BN129" s="182"/>
      <c r="BO129" s="182"/>
    </row>
    <row r="130" spans="1:67" s="186" customFormat="1" ht="72.75" customHeight="1">
      <c r="A130" s="255" t="s">
        <v>464</v>
      </c>
      <c r="B130" s="255" t="s">
        <v>103</v>
      </c>
      <c r="C130" s="255" t="s">
        <v>467</v>
      </c>
      <c r="D130" s="255" t="s">
        <v>112</v>
      </c>
      <c r="E130" s="255" t="s">
        <v>103</v>
      </c>
      <c r="F130" s="255" t="s">
        <v>106</v>
      </c>
      <c r="G130" s="267">
        <v>5.41</v>
      </c>
      <c r="H130" s="256">
        <f t="shared" si="23"/>
        <v>143611.155</v>
      </c>
      <c r="I130" s="256"/>
      <c r="J130" s="256">
        <v>27</v>
      </c>
      <c r="K130" s="256"/>
      <c r="L130" s="256">
        <f t="shared" si="53"/>
        <v>0</v>
      </c>
      <c r="M130" s="256">
        <f t="shared" si="54"/>
        <v>215416.73250000001</v>
      </c>
      <c r="N130" s="256">
        <f t="shared" si="55"/>
        <v>0</v>
      </c>
      <c r="O130" s="256"/>
      <c r="P130" s="256"/>
      <c r="Q130" s="256"/>
      <c r="R130" s="256"/>
      <c r="S130" s="257"/>
      <c r="T130" s="257"/>
      <c r="U130" s="257"/>
      <c r="V130" s="257"/>
      <c r="W130" s="257"/>
      <c r="X130" s="257"/>
      <c r="Y130" s="257"/>
      <c r="Z130" s="257"/>
      <c r="AA130" s="257"/>
      <c r="AB130" s="257"/>
      <c r="AC130" s="257">
        <f t="shared" si="43"/>
        <v>0</v>
      </c>
      <c r="AD130" s="257">
        <f t="shared" si="44"/>
        <v>0</v>
      </c>
      <c r="AE130" s="257">
        <f t="shared" si="45"/>
        <v>0</v>
      </c>
      <c r="AF130" s="257">
        <f t="shared" si="46"/>
        <v>0</v>
      </c>
      <c r="AG130" s="257">
        <f t="shared" si="47"/>
        <v>0</v>
      </c>
      <c r="AH130" s="257">
        <f t="shared" si="48"/>
        <v>0</v>
      </c>
      <c r="AI130" s="257">
        <f t="shared" si="49"/>
        <v>0</v>
      </c>
      <c r="AJ130" s="257">
        <f t="shared" si="50"/>
        <v>0</v>
      </c>
      <c r="AK130" s="257">
        <f t="shared" si="51"/>
        <v>0</v>
      </c>
      <c r="AL130" s="256">
        <f t="shared" si="52"/>
        <v>0</v>
      </c>
      <c r="AM130" s="256"/>
      <c r="AN130" s="256"/>
      <c r="AO130" s="256"/>
      <c r="AP130" s="256">
        <f t="shared" si="56"/>
        <v>0</v>
      </c>
      <c r="AQ130" s="256"/>
      <c r="AR130" s="256"/>
      <c r="AS130" s="256"/>
      <c r="AT130" s="256"/>
      <c r="AU130" s="256"/>
      <c r="AV130" s="256"/>
      <c r="AW130" s="256"/>
      <c r="AX130" s="256"/>
      <c r="AY130" s="256"/>
      <c r="AZ130" s="256"/>
      <c r="BA130" s="256"/>
      <c r="BB130" s="256"/>
      <c r="BC130" s="261">
        <v>27</v>
      </c>
      <c r="BD130" s="256"/>
      <c r="BE130" s="259">
        <f t="shared" si="63"/>
        <v>86166.693000000014</v>
      </c>
      <c r="BF130" s="256">
        <v>27</v>
      </c>
      <c r="BG130" s="256">
        <f t="shared" si="57"/>
        <v>64625.019749999999</v>
      </c>
      <c r="BH130" s="256"/>
      <c r="BI130" s="256"/>
      <c r="BJ130" s="256"/>
      <c r="BK130" s="256">
        <f t="shared" si="60"/>
        <v>0</v>
      </c>
      <c r="BL130" s="256">
        <f t="shared" si="58"/>
        <v>21541.673250000003</v>
      </c>
      <c r="BM130" s="256">
        <f t="shared" si="40"/>
        <v>387750.11849999998</v>
      </c>
      <c r="BN130" s="182"/>
      <c r="BO130" s="182"/>
    </row>
    <row r="131" spans="1:67" s="186" customFormat="1" ht="95.25" customHeight="1">
      <c r="A131" s="255" t="s">
        <v>464</v>
      </c>
      <c r="B131" s="255" t="s">
        <v>103</v>
      </c>
      <c r="C131" s="255" t="s">
        <v>468</v>
      </c>
      <c r="D131" s="255" t="s">
        <v>290</v>
      </c>
      <c r="E131" s="255" t="s">
        <v>103</v>
      </c>
      <c r="F131" s="255" t="s">
        <v>106</v>
      </c>
      <c r="G131" s="267">
        <v>5.32</v>
      </c>
      <c r="H131" s="256">
        <f t="shared" si="23"/>
        <v>141222.06</v>
      </c>
      <c r="I131" s="256"/>
      <c r="J131" s="256">
        <v>6</v>
      </c>
      <c r="K131" s="256"/>
      <c r="L131" s="256">
        <f t="shared" si="53"/>
        <v>0</v>
      </c>
      <c r="M131" s="256">
        <f t="shared" si="54"/>
        <v>47074.020000000004</v>
      </c>
      <c r="N131" s="256">
        <f t="shared" si="55"/>
        <v>0</v>
      </c>
      <c r="O131" s="256"/>
      <c r="P131" s="256"/>
      <c r="Q131" s="256"/>
      <c r="R131" s="256"/>
      <c r="S131" s="257"/>
      <c r="T131" s="257"/>
      <c r="U131" s="257"/>
      <c r="V131" s="257">
        <v>3</v>
      </c>
      <c r="W131" s="257"/>
      <c r="X131" s="257"/>
      <c r="Y131" s="257"/>
      <c r="Z131" s="257"/>
      <c r="AA131" s="257"/>
      <c r="AB131" s="257"/>
      <c r="AC131" s="257">
        <f t="shared" si="43"/>
        <v>0</v>
      </c>
      <c r="AD131" s="257">
        <f t="shared" si="44"/>
        <v>0</v>
      </c>
      <c r="AE131" s="257">
        <f t="shared" si="45"/>
        <v>0</v>
      </c>
      <c r="AF131" s="257">
        <f t="shared" si="46"/>
        <v>1179.8</v>
      </c>
      <c r="AG131" s="257">
        <f t="shared" si="47"/>
        <v>0</v>
      </c>
      <c r="AH131" s="257">
        <f t="shared" si="48"/>
        <v>0</v>
      </c>
      <c r="AI131" s="257">
        <f t="shared" si="49"/>
        <v>0</v>
      </c>
      <c r="AJ131" s="257">
        <f t="shared" si="50"/>
        <v>0</v>
      </c>
      <c r="AK131" s="257">
        <f t="shared" si="51"/>
        <v>0</v>
      </c>
      <c r="AL131" s="256">
        <f t="shared" si="52"/>
        <v>0</v>
      </c>
      <c r="AM131" s="256"/>
      <c r="AN131" s="256"/>
      <c r="AO131" s="256"/>
      <c r="AP131" s="256">
        <f t="shared" si="56"/>
        <v>0</v>
      </c>
      <c r="AQ131" s="256"/>
      <c r="AR131" s="256"/>
      <c r="AS131" s="256"/>
      <c r="AT131" s="256"/>
      <c r="AU131" s="256"/>
      <c r="AV131" s="256"/>
      <c r="AW131" s="256"/>
      <c r="AX131" s="256"/>
      <c r="AY131" s="256"/>
      <c r="AZ131" s="256"/>
      <c r="BA131" s="256"/>
      <c r="BB131" s="256"/>
      <c r="BC131" s="261">
        <v>6</v>
      </c>
      <c r="BD131" s="256"/>
      <c r="BE131" s="259">
        <f t="shared" si="63"/>
        <v>18829.608</v>
      </c>
      <c r="BF131" s="256">
        <v>6</v>
      </c>
      <c r="BG131" s="256">
        <f t="shared" si="57"/>
        <v>14122.206</v>
      </c>
      <c r="BH131" s="256"/>
      <c r="BI131" s="256"/>
      <c r="BJ131" s="256"/>
      <c r="BK131" s="256">
        <f t="shared" si="60"/>
        <v>0</v>
      </c>
      <c r="BL131" s="256">
        <f t="shared" si="58"/>
        <v>4707.402000000001</v>
      </c>
      <c r="BM131" s="256">
        <f t="shared" si="40"/>
        <v>85913.036000000022</v>
      </c>
      <c r="BN131" s="182"/>
      <c r="BO131" s="182"/>
    </row>
    <row r="132" spans="1:67" s="286" customFormat="1" ht="1.5" customHeight="1">
      <c r="A132" s="281"/>
      <c r="B132" s="281"/>
      <c r="C132" s="281"/>
      <c r="D132" s="281"/>
      <c r="E132" s="281"/>
      <c r="F132" s="281"/>
      <c r="G132" s="281"/>
      <c r="H132" s="282">
        <f>SUM(H12:H131)</f>
        <v>15375419.055</v>
      </c>
      <c r="I132" s="283">
        <v>362</v>
      </c>
      <c r="J132" s="283">
        <v>391</v>
      </c>
      <c r="K132" s="283">
        <v>63</v>
      </c>
      <c r="L132" s="282">
        <f>SUM(L87:L131)</f>
        <v>2177320.9</v>
      </c>
      <c r="M132" s="282">
        <f>SUM(M87:M131)</f>
        <v>2674178.9225000003</v>
      </c>
      <c r="N132" s="282">
        <f>SUM(N87:N131)</f>
        <v>426350.22500000009</v>
      </c>
      <c r="O132" s="283" t="s">
        <v>469</v>
      </c>
      <c r="P132" s="282">
        <f>SUM(P90:P131)</f>
        <v>115030.5</v>
      </c>
      <c r="Q132" s="282">
        <f>SUM(Q90:Q131)</f>
        <v>74327.399999999994</v>
      </c>
      <c r="R132" s="282">
        <v>0</v>
      </c>
      <c r="S132" s="284">
        <f t="shared" ref="S132:AL132" si="64">SUM(S87:S131)</f>
        <v>12</v>
      </c>
      <c r="T132" s="284">
        <f t="shared" si="64"/>
        <v>204</v>
      </c>
      <c r="U132" s="284">
        <f t="shared" si="64"/>
        <v>54</v>
      </c>
      <c r="V132" s="284">
        <f t="shared" si="64"/>
        <v>61</v>
      </c>
      <c r="W132" s="284">
        <f t="shared" si="64"/>
        <v>38</v>
      </c>
      <c r="X132" s="284">
        <f t="shared" si="64"/>
        <v>28</v>
      </c>
      <c r="Y132" s="284">
        <f t="shared" si="64"/>
        <v>12</v>
      </c>
      <c r="Z132" s="284">
        <f t="shared" si="64"/>
        <v>14</v>
      </c>
      <c r="AA132" s="284">
        <f t="shared" si="64"/>
        <v>2</v>
      </c>
      <c r="AB132" s="284">
        <f t="shared" si="64"/>
        <v>1</v>
      </c>
      <c r="AC132" s="265">
        <f t="shared" si="64"/>
        <v>2949.5</v>
      </c>
      <c r="AD132" s="265">
        <f t="shared" si="64"/>
        <v>80226.400000000009</v>
      </c>
      <c r="AE132" s="265">
        <f t="shared" si="64"/>
        <v>10618.199999999999</v>
      </c>
      <c r="AF132" s="265">
        <f t="shared" si="64"/>
        <v>23989.266666666666</v>
      </c>
      <c r="AG132" s="265">
        <f t="shared" si="64"/>
        <v>9340.0833333333321</v>
      </c>
      <c r="AH132" s="265">
        <f t="shared" si="64"/>
        <v>13764.333333333332</v>
      </c>
      <c r="AI132" s="265">
        <f t="shared" si="64"/>
        <v>2359.6</v>
      </c>
      <c r="AJ132" s="265">
        <f t="shared" si="64"/>
        <v>5505.7333333333336</v>
      </c>
      <c r="AK132" s="265">
        <f t="shared" si="64"/>
        <v>491.58333333333331</v>
      </c>
      <c r="AL132" s="282">
        <f t="shared" si="64"/>
        <v>491.58333333333331</v>
      </c>
      <c r="AM132" s="283" t="s">
        <v>470</v>
      </c>
      <c r="AN132" s="282">
        <f>SUM(AN87:AN131)</f>
        <v>14157.6</v>
      </c>
      <c r="AO132" s="283">
        <v>253</v>
      </c>
      <c r="AP132" s="282">
        <f>SUM(AP87:AP131)</f>
        <v>49748.233333333337</v>
      </c>
      <c r="AQ132" s="282">
        <f t="shared" ref="AQ132" si="65">SUM(AQ12:AQ131)</f>
        <v>0</v>
      </c>
      <c r="AR132" s="282">
        <v>0</v>
      </c>
      <c r="AS132" s="283">
        <v>3</v>
      </c>
      <c r="AT132" s="282">
        <f>SUM(AT87:AT131)</f>
        <v>87510</v>
      </c>
      <c r="AU132" s="282"/>
      <c r="AV132" s="282">
        <v>0</v>
      </c>
      <c r="AW132" s="282"/>
      <c r="AX132" s="283">
        <v>238</v>
      </c>
      <c r="AY132" s="282">
        <f>SUM(AY87:AY131)</f>
        <v>452061.01649999997</v>
      </c>
      <c r="AZ132" s="283">
        <v>92</v>
      </c>
      <c r="BA132" s="282"/>
      <c r="BB132" s="282">
        <f>SUM(BB87:BB131)</f>
        <v>199207.75524999999</v>
      </c>
      <c r="BC132" s="283">
        <v>57</v>
      </c>
      <c r="BD132" s="282"/>
      <c r="BE132" s="282">
        <f>SUM(BE87:BE131)</f>
        <v>191162.99400000004</v>
      </c>
      <c r="BF132" s="283">
        <v>816</v>
      </c>
      <c r="BG132" s="282">
        <f>SUM(BG87:BG131)</f>
        <v>1583355.0142499998</v>
      </c>
      <c r="BH132" s="283">
        <v>0</v>
      </c>
      <c r="BI132" s="282">
        <v>0</v>
      </c>
      <c r="BJ132" s="283">
        <v>35</v>
      </c>
      <c r="BK132" s="282">
        <f>SUM(BK87:BK131)</f>
        <v>13764.33333333333</v>
      </c>
      <c r="BL132" s="282">
        <f>SUM(BL87:BL131)</f>
        <v>527785.00475000008</v>
      </c>
      <c r="BM132" s="282">
        <f>SUM(BM87:BM131)</f>
        <v>8735696.1822500043</v>
      </c>
      <c r="BN132" s="285"/>
      <c r="BO132" s="285"/>
    </row>
    <row r="133" spans="1:67" s="291" customFormat="1" ht="72.75" customHeight="1">
      <c r="A133" s="287" t="s">
        <v>471</v>
      </c>
      <c r="B133" s="287"/>
      <c r="C133" s="287"/>
      <c r="D133" s="287"/>
      <c r="E133" s="287"/>
      <c r="F133" s="287"/>
      <c r="G133" s="287"/>
      <c r="H133" s="288"/>
      <c r="I133" s="289">
        <v>841</v>
      </c>
      <c r="J133" s="289">
        <v>1198</v>
      </c>
      <c r="K133" s="289">
        <v>254</v>
      </c>
      <c r="L133" s="288">
        <f>L86+L132</f>
        <v>5823714.0124999993</v>
      </c>
      <c r="M133" s="288">
        <f t="shared" ref="M133:N133" si="66">M86+M132</f>
        <v>8896680.0824999996</v>
      </c>
      <c r="N133" s="288">
        <f t="shared" si="66"/>
        <v>1915139.8450000004</v>
      </c>
      <c r="O133" s="289" t="s">
        <v>472</v>
      </c>
      <c r="P133" s="288">
        <f>P86+P132</f>
        <v>238909.5</v>
      </c>
      <c r="Q133" s="288">
        <f t="shared" ref="Q133:R133" si="67">Q86+Q132</f>
        <v>292000.50000000006</v>
      </c>
      <c r="R133" s="288">
        <f t="shared" si="67"/>
        <v>42472.799999999996</v>
      </c>
      <c r="S133" s="271">
        <f>S86+S132</f>
        <v>112</v>
      </c>
      <c r="T133" s="271">
        <f t="shared" ref="T133:AA133" si="68">T86+T132</f>
        <v>391</v>
      </c>
      <c r="U133" s="271">
        <f t="shared" si="68"/>
        <v>132</v>
      </c>
      <c r="V133" s="271">
        <f t="shared" si="68"/>
        <v>231</v>
      </c>
      <c r="W133" s="271">
        <f t="shared" si="68"/>
        <v>166</v>
      </c>
      <c r="X133" s="271">
        <f t="shared" si="68"/>
        <v>130</v>
      </c>
      <c r="Y133" s="271">
        <f t="shared" si="68"/>
        <v>21</v>
      </c>
      <c r="Z133" s="271">
        <f t="shared" si="68"/>
        <v>68</v>
      </c>
      <c r="AA133" s="271">
        <f t="shared" si="68"/>
        <v>20</v>
      </c>
      <c r="AB133" s="271">
        <f>AB86+AB132</f>
        <v>20</v>
      </c>
      <c r="AC133" s="257">
        <f>AC86+AC132</f>
        <v>27528.666666666672</v>
      </c>
      <c r="AD133" s="257">
        <f t="shared" ref="AD133:AL133" si="69">AD86+AD132</f>
        <v>153767.26666666669</v>
      </c>
      <c r="AE133" s="257">
        <f t="shared" si="69"/>
        <v>25955.599999999999</v>
      </c>
      <c r="AF133" s="257">
        <f t="shared" si="69"/>
        <v>90844.6</v>
      </c>
      <c r="AG133" s="257">
        <f t="shared" si="69"/>
        <v>40801.416666666664</v>
      </c>
      <c r="AH133" s="257">
        <f t="shared" si="69"/>
        <v>63905.833333333328</v>
      </c>
      <c r="AI133" s="257">
        <f t="shared" si="69"/>
        <v>4129.2999999999993</v>
      </c>
      <c r="AJ133" s="257">
        <f t="shared" si="69"/>
        <v>26742.133333333328</v>
      </c>
      <c r="AK133" s="257">
        <f t="shared" si="69"/>
        <v>4915.833333333333</v>
      </c>
      <c r="AL133" s="288">
        <f t="shared" si="69"/>
        <v>9831.6666666666661</v>
      </c>
      <c r="AM133" s="289" t="s">
        <v>473</v>
      </c>
      <c r="AN133" s="288">
        <f>AN86+AN132</f>
        <v>74327.400000000023</v>
      </c>
      <c r="AO133" s="289">
        <v>1065</v>
      </c>
      <c r="AP133" s="288">
        <f>AP86+AP132</f>
        <v>209414.5</v>
      </c>
      <c r="AQ133" s="288"/>
      <c r="AR133" s="290"/>
      <c r="AS133" s="289">
        <v>4</v>
      </c>
      <c r="AT133" s="288">
        <f>AT86+AT132</f>
        <v>116680</v>
      </c>
      <c r="AU133" s="288"/>
      <c r="AV133" s="288">
        <f>AV86</f>
        <v>53091</v>
      </c>
      <c r="AW133" s="288"/>
      <c r="AX133" s="289">
        <v>314</v>
      </c>
      <c r="AY133" s="288">
        <f>AY86+AY132</f>
        <v>617466.027</v>
      </c>
      <c r="AZ133" s="289">
        <v>358</v>
      </c>
      <c r="BA133" s="288"/>
      <c r="BB133" s="288">
        <f>BB86+BB132</f>
        <v>884294.75662499992</v>
      </c>
      <c r="BC133" s="289">
        <f>BC86+BC132</f>
        <v>898</v>
      </c>
      <c r="BD133" s="288"/>
      <c r="BE133" s="288">
        <f>BE86+BE132</f>
        <v>2778151.747</v>
      </c>
      <c r="BF133" s="289">
        <v>2293</v>
      </c>
      <c r="BG133" s="288">
        <f>BG86+BG132</f>
        <v>4990660.1819999991</v>
      </c>
      <c r="BH133" s="289">
        <v>7</v>
      </c>
      <c r="BI133" s="288">
        <f>BI86</f>
        <v>123879</v>
      </c>
      <c r="BJ133" s="289">
        <v>183</v>
      </c>
      <c r="BK133" s="288">
        <f>BK86+BK132</f>
        <v>71967.800000000017</v>
      </c>
      <c r="BL133" s="288">
        <f>BL86+BL132</f>
        <v>1663553.3940000001</v>
      </c>
      <c r="BM133" s="288">
        <f>BM86+BM132</f>
        <v>29240824.863291662</v>
      </c>
      <c r="BN133" s="287"/>
      <c r="BO133" s="287"/>
    </row>
    <row r="134" spans="1:67" s="298" customFormat="1" ht="36.75" customHeight="1">
      <c r="A134" s="292"/>
      <c r="B134" s="292"/>
      <c r="C134" s="292"/>
      <c r="D134" s="292"/>
      <c r="E134" s="292"/>
      <c r="F134" s="292"/>
      <c r="G134" s="292"/>
      <c r="H134" s="292"/>
      <c r="I134" s="292"/>
      <c r="J134" s="292"/>
      <c r="K134" s="292"/>
      <c r="L134" s="292"/>
      <c r="M134" s="293"/>
      <c r="N134" s="292"/>
      <c r="O134" s="292"/>
      <c r="P134" s="292"/>
      <c r="Q134" s="292"/>
      <c r="R134" s="292"/>
      <c r="S134" s="294"/>
      <c r="T134" s="294"/>
      <c r="U134" s="294"/>
      <c r="V134" s="294"/>
      <c r="W134" s="294"/>
      <c r="X134" s="294"/>
      <c r="Y134" s="294"/>
      <c r="Z134" s="294"/>
      <c r="AA134" s="294"/>
      <c r="AB134" s="294"/>
      <c r="AC134" s="294"/>
      <c r="AD134" s="294"/>
      <c r="AE134" s="294"/>
      <c r="AF134" s="295"/>
      <c r="AG134" s="294"/>
      <c r="AH134" s="294"/>
      <c r="AI134" s="294"/>
      <c r="AJ134" s="294"/>
      <c r="AK134" s="294"/>
      <c r="AL134" s="292"/>
      <c r="AM134" s="292" t="s">
        <v>474</v>
      </c>
      <c r="AN134" s="292"/>
      <c r="AO134" s="292" t="s">
        <v>474</v>
      </c>
      <c r="AP134" s="292"/>
      <c r="AQ134" s="292" t="s">
        <v>474</v>
      </c>
      <c r="AR134" s="296"/>
      <c r="AS134" s="292" t="s">
        <v>474</v>
      </c>
      <c r="AT134" s="292"/>
      <c r="AU134" s="292"/>
      <c r="AV134" s="292"/>
      <c r="AW134" s="292"/>
      <c r="AX134" s="297"/>
      <c r="AY134" s="292"/>
      <c r="AZ134" s="292"/>
      <c r="BA134" s="292"/>
      <c r="BB134" s="292"/>
      <c r="BC134" s="292"/>
      <c r="BD134" s="292"/>
      <c r="BE134" s="292"/>
      <c r="BF134" s="292" t="s">
        <v>474</v>
      </c>
      <c r="BG134" s="292"/>
      <c r="BH134" s="292" t="s">
        <v>474</v>
      </c>
      <c r="BI134" s="292"/>
      <c r="BJ134" s="292" t="s">
        <v>474</v>
      </c>
      <c r="BK134" s="292"/>
      <c r="BL134" s="292"/>
      <c r="BM134" s="292"/>
      <c r="BN134" s="292"/>
      <c r="BO134" s="292"/>
    </row>
    <row r="135" spans="1:67" s="159" customFormat="1" ht="91.5">
      <c r="A135" s="299"/>
      <c r="B135" s="187"/>
      <c r="C135" s="187"/>
      <c r="D135" s="187"/>
      <c r="E135" s="187"/>
      <c r="F135" s="187"/>
      <c r="G135" s="187"/>
      <c r="H135" s="187"/>
      <c r="I135" s="187" t="s">
        <v>475</v>
      </c>
      <c r="J135" s="187" t="s">
        <v>475</v>
      </c>
      <c r="K135" s="299"/>
      <c r="L135" s="300"/>
      <c r="M135" s="300"/>
      <c r="N135" s="300"/>
      <c r="O135" s="299"/>
      <c r="P135" s="300"/>
      <c r="Q135" s="300"/>
      <c r="R135" s="300"/>
      <c r="S135" s="301"/>
      <c r="T135" s="301"/>
      <c r="U135" s="301"/>
      <c r="V135" s="301"/>
      <c r="W135" s="302"/>
      <c r="X135" s="294"/>
      <c r="Y135" s="294"/>
      <c r="Z135" s="294"/>
      <c r="AA135" s="294"/>
      <c r="AB135" s="294"/>
      <c r="AC135" s="303"/>
      <c r="AD135" s="303"/>
      <c r="AE135" s="303"/>
      <c r="AF135" s="285"/>
      <c r="AG135" s="285"/>
      <c r="AH135" s="285"/>
      <c r="AI135" s="285"/>
      <c r="AJ135" s="285"/>
      <c r="AK135" s="285"/>
      <c r="AL135" s="182"/>
      <c r="AM135" s="182"/>
      <c r="AN135" s="285"/>
      <c r="AO135" s="182"/>
      <c r="AP135" s="285"/>
      <c r="AQ135" s="182"/>
      <c r="AR135" s="182"/>
      <c r="AS135" s="182"/>
      <c r="AT135" s="285"/>
      <c r="AU135" s="182"/>
      <c r="AV135" s="285"/>
      <c r="AW135" s="182"/>
      <c r="AX135" s="182"/>
      <c r="AY135" s="182"/>
      <c r="AZ135" s="182"/>
      <c r="BA135" s="182"/>
      <c r="BB135" s="182"/>
      <c r="BC135" s="182"/>
      <c r="BD135" s="182"/>
      <c r="BE135" s="182"/>
      <c r="BF135" s="182"/>
      <c r="BG135" s="304"/>
      <c r="BH135" s="182"/>
      <c r="BI135" s="285"/>
      <c r="BJ135" s="285"/>
      <c r="BK135" s="285"/>
      <c r="BL135" s="182"/>
      <c r="BM135" s="182"/>
      <c r="BN135" s="182"/>
      <c r="BO135" s="182"/>
    </row>
    <row r="136" spans="1:67" s="124" customFormat="1" ht="91.5">
      <c r="A136" s="305"/>
      <c r="B136" s="187" t="s">
        <v>476</v>
      </c>
      <c r="C136" s="187"/>
      <c r="D136" s="187"/>
      <c r="E136" s="187"/>
      <c r="F136" s="187"/>
      <c r="G136" s="187"/>
      <c r="H136" s="187"/>
      <c r="I136" s="187"/>
      <c r="J136" s="187"/>
      <c r="K136" s="305"/>
      <c r="L136" s="305"/>
      <c r="M136" s="305"/>
      <c r="N136" s="305"/>
      <c r="O136" s="305"/>
      <c r="P136" s="305"/>
      <c r="Q136" s="305"/>
      <c r="R136" s="305"/>
      <c r="S136" s="189"/>
      <c r="T136" s="189"/>
      <c r="U136" s="189"/>
      <c r="V136" s="189"/>
      <c r="W136" s="189"/>
      <c r="X136" s="301"/>
      <c r="Y136" s="294"/>
      <c r="Z136" s="294"/>
      <c r="AA136" s="294"/>
      <c r="AB136" s="294"/>
      <c r="AC136" s="294"/>
      <c r="AD136" s="294"/>
      <c r="AE136" s="294"/>
      <c r="AF136" s="294"/>
      <c r="AG136" s="294"/>
      <c r="AH136" s="294"/>
      <c r="AI136" s="294"/>
      <c r="AJ136" s="294"/>
      <c r="AK136" s="294"/>
      <c r="AL136" s="306"/>
      <c r="AM136" s="306"/>
      <c r="AN136" s="306"/>
      <c r="AO136" s="306"/>
      <c r="AP136" s="306"/>
      <c r="AQ136" s="306"/>
      <c r="AR136" s="306"/>
      <c r="AS136" s="306"/>
      <c r="AT136" s="306"/>
      <c r="AU136" s="306"/>
      <c r="AV136" s="306"/>
      <c r="AW136" s="306"/>
      <c r="AX136" s="306"/>
      <c r="AY136" s="306"/>
      <c r="AZ136" s="306"/>
      <c r="BA136" s="306"/>
      <c r="BB136" s="306"/>
      <c r="BC136" s="306"/>
      <c r="BD136" s="306"/>
      <c r="BE136" s="306"/>
      <c r="BF136" s="306"/>
      <c r="BG136" s="306"/>
      <c r="BH136" s="306"/>
      <c r="BI136" s="306"/>
      <c r="BJ136" s="306"/>
      <c r="BK136" s="306"/>
      <c r="BL136" s="306"/>
      <c r="BM136" s="307"/>
      <c r="BN136" s="307"/>
      <c r="BO136" s="307"/>
    </row>
    <row r="137" spans="1:67" s="124" customFormat="1" ht="91.5">
      <c r="A137" s="305"/>
      <c r="B137" s="187" t="s">
        <v>477</v>
      </c>
      <c r="C137" s="187"/>
      <c r="D137" s="187"/>
      <c r="E137" s="187"/>
      <c r="F137" s="187"/>
      <c r="G137" s="187"/>
      <c r="H137" s="187"/>
      <c r="I137" s="187"/>
      <c r="J137" s="187"/>
      <c r="K137" s="305"/>
      <c r="L137" s="305"/>
      <c r="M137" s="305"/>
      <c r="N137" s="305"/>
      <c r="O137" s="305"/>
      <c r="P137" s="305"/>
      <c r="Q137" s="305"/>
      <c r="R137" s="305"/>
      <c r="S137" s="189"/>
      <c r="T137" s="189"/>
      <c r="U137" s="189"/>
      <c r="V137" s="189"/>
      <c r="W137" s="189"/>
      <c r="X137" s="189"/>
      <c r="Y137" s="183"/>
      <c r="Z137" s="183"/>
      <c r="AA137" s="183"/>
      <c r="AB137" s="183"/>
      <c r="AC137" s="183"/>
      <c r="AD137" s="183"/>
      <c r="AE137" s="183"/>
      <c r="AF137" s="183"/>
      <c r="AG137" s="183"/>
      <c r="AH137" s="183"/>
      <c r="AI137" s="183"/>
      <c r="AJ137" s="183"/>
      <c r="AK137" s="183"/>
      <c r="AL137" s="307"/>
      <c r="AM137" s="307"/>
      <c r="AN137" s="307"/>
      <c r="AO137" s="307"/>
      <c r="AP137" s="307"/>
      <c r="AQ137" s="307"/>
      <c r="AR137" s="307"/>
      <c r="AS137" s="307"/>
      <c r="AT137" s="307"/>
      <c r="AU137" s="307"/>
      <c r="AV137" s="307"/>
      <c r="AW137" s="307"/>
      <c r="AX137" s="307"/>
      <c r="AY137" s="307"/>
      <c r="AZ137" s="307"/>
      <c r="BA137" s="307"/>
      <c r="BB137" s="307"/>
      <c r="BC137" s="307"/>
      <c r="BD137" s="307"/>
      <c r="BE137" s="307"/>
      <c r="BF137" s="307"/>
      <c r="BG137" s="307"/>
      <c r="BH137" s="307"/>
      <c r="BI137" s="307"/>
      <c r="BJ137" s="307"/>
      <c r="BK137" s="307"/>
      <c r="BL137" s="307"/>
      <c r="BM137" s="307"/>
      <c r="BN137" s="307"/>
      <c r="BO137" s="307"/>
    </row>
    <row r="138" spans="1:67" ht="15" customHeight="1">
      <c r="A138" s="294"/>
      <c r="B138" s="302"/>
      <c r="C138" s="302"/>
      <c r="D138" s="302"/>
      <c r="E138" s="302"/>
      <c r="F138" s="302"/>
      <c r="G138" s="302"/>
      <c r="H138" s="302"/>
      <c r="I138" s="302"/>
      <c r="J138" s="302"/>
      <c r="K138" s="301"/>
      <c r="L138" s="301"/>
      <c r="M138" s="301"/>
      <c r="N138" s="294"/>
      <c r="O138" s="294"/>
      <c r="P138" s="294"/>
      <c r="Q138" s="294"/>
      <c r="R138" s="294"/>
      <c r="S138" s="294"/>
      <c r="T138" s="294"/>
      <c r="U138" s="294"/>
      <c r="V138" s="294"/>
      <c r="W138" s="294"/>
      <c r="X138" s="294"/>
      <c r="Y138" s="294"/>
      <c r="Z138" s="294"/>
      <c r="AA138" s="294"/>
      <c r="AB138" s="294"/>
      <c r="AC138" s="294"/>
      <c r="AD138" s="294"/>
      <c r="AE138" s="294"/>
      <c r="AF138" s="294"/>
      <c r="AG138" s="294"/>
      <c r="AH138" s="294"/>
      <c r="AI138" s="294"/>
      <c r="AJ138" s="294"/>
      <c r="AK138" s="294"/>
      <c r="AL138" s="294"/>
      <c r="AM138" s="294"/>
      <c r="AN138" s="294"/>
      <c r="AO138" s="294"/>
      <c r="AP138" s="294"/>
      <c r="AQ138" s="294"/>
      <c r="AR138" s="294"/>
      <c r="AS138" s="294"/>
      <c r="AT138" s="294"/>
      <c r="AU138" s="294"/>
      <c r="AV138" s="294"/>
      <c r="AW138" s="294"/>
      <c r="AX138" s="308"/>
      <c r="AY138" s="294"/>
      <c r="AZ138" s="294"/>
      <c r="BA138" s="294"/>
      <c r="BB138" s="294"/>
      <c r="BC138" s="294"/>
      <c r="BD138" s="294"/>
      <c r="BE138" s="294"/>
      <c r="BF138" s="294"/>
      <c r="BG138" s="294"/>
      <c r="BH138" s="294"/>
      <c r="BI138" s="294"/>
      <c r="BJ138" s="183"/>
      <c r="BK138" s="183"/>
      <c r="BL138" s="183"/>
      <c r="BM138" s="183"/>
    </row>
    <row r="139" spans="1:67" ht="15" customHeight="1">
      <c r="A139" s="294"/>
      <c r="B139" s="302"/>
      <c r="C139" s="302"/>
      <c r="D139" s="302"/>
      <c r="E139" s="302"/>
      <c r="F139" s="302"/>
      <c r="G139" s="302"/>
      <c r="H139" s="302"/>
      <c r="I139" s="302"/>
      <c r="J139" s="302"/>
      <c r="K139" s="301"/>
      <c r="L139" s="301"/>
      <c r="M139" s="301"/>
      <c r="N139" s="294"/>
      <c r="O139" s="294"/>
      <c r="P139" s="294"/>
      <c r="Q139" s="294"/>
      <c r="R139" s="294"/>
      <c r="S139" s="294"/>
      <c r="T139" s="294"/>
      <c r="U139" s="294"/>
      <c r="V139" s="294"/>
      <c r="W139" s="294"/>
      <c r="X139" s="294"/>
      <c r="Y139" s="294"/>
      <c r="Z139" s="294"/>
      <c r="AA139" s="294"/>
      <c r="AB139" s="294"/>
      <c r="AC139" s="294"/>
      <c r="AD139" s="294"/>
      <c r="AE139" s="294"/>
      <c r="AF139" s="294"/>
      <c r="AG139" s="294"/>
      <c r="AH139" s="294"/>
      <c r="AI139" s="294"/>
      <c r="AJ139" s="294"/>
      <c r="AK139" s="294"/>
      <c r="AL139" s="294"/>
      <c r="AM139" s="294"/>
      <c r="AN139" s="294"/>
      <c r="AO139" s="294"/>
      <c r="AP139" s="294"/>
      <c r="AQ139" s="294"/>
      <c r="AR139" s="294"/>
      <c r="AS139" s="294"/>
      <c r="AT139" s="294"/>
      <c r="AU139" s="294"/>
      <c r="AV139" s="294"/>
      <c r="AW139" s="294"/>
      <c r="AX139" s="308"/>
      <c r="AY139" s="294"/>
      <c r="AZ139" s="294"/>
      <c r="BA139" s="294"/>
      <c r="BB139" s="294"/>
      <c r="BC139" s="294"/>
      <c r="BD139" s="294"/>
      <c r="BE139" s="294"/>
      <c r="BF139" s="294"/>
      <c r="BG139" s="294"/>
      <c r="BH139" s="294"/>
      <c r="BI139" s="294"/>
      <c r="BJ139" s="183"/>
      <c r="BK139" s="183"/>
      <c r="BL139" s="183"/>
      <c r="BM139" s="183"/>
    </row>
    <row r="140" spans="1:67" ht="15" customHeight="1">
      <c r="A140" s="309"/>
      <c r="B140" s="310"/>
      <c r="C140" s="310"/>
      <c r="D140" s="310"/>
      <c r="E140" s="310"/>
      <c r="F140" s="310"/>
      <c r="G140" s="310"/>
      <c r="H140" s="310"/>
      <c r="I140" s="310"/>
      <c r="J140" s="310"/>
      <c r="K140" s="311"/>
      <c r="L140" s="311"/>
      <c r="M140" s="311"/>
      <c r="N140" s="309"/>
      <c r="O140" s="309"/>
      <c r="P140" s="309"/>
      <c r="Q140" s="309"/>
      <c r="R140" s="309"/>
      <c r="S140" s="309"/>
      <c r="T140" s="309"/>
      <c r="U140" s="309"/>
      <c r="V140" s="309"/>
      <c r="W140" s="309"/>
      <c r="X140" s="309"/>
      <c r="Y140" s="309"/>
      <c r="Z140" s="309"/>
      <c r="AA140" s="309"/>
      <c r="AB140" s="309"/>
      <c r="AC140" s="309"/>
      <c r="AD140" s="309"/>
      <c r="AE140" s="309"/>
      <c r="AF140" s="309"/>
      <c r="AG140" s="309"/>
      <c r="AH140" s="309"/>
      <c r="AI140" s="309"/>
      <c r="AJ140" s="309"/>
      <c r="AK140" s="309"/>
      <c r="AL140" s="309"/>
      <c r="AM140" s="309"/>
      <c r="AN140" s="309"/>
      <c r="AO140" s="309"/>
      <c r="AP140" s="309"/>
      <c r="AQ140" s="309"/>
      <c r="AR140" s="309"/>
      <c r="AS140" s="309"/>
      <c r="AT140" s="309"/>
      <c r="AU140" s="309"/>
      <c r="AV140" s="309"/>
      <c r="AW140" s="309"/>
      <c r="AX140" s="312"/>
      <c r="AY140" s="309"/>
      <c r="AZ140" s="309"/>
      <c r="BA140" s="309"/>
      <c r="BB140" s="309"/>
      <c r="BC140" s="309"/>
      <c r="BD140" s="309"/>
      <c r="BE140" s="309"/>
      <c r="BF140" s="309"/>
      <c r="BG140" s="309"/>
      <c r="BH140" s="309"/>
      <c r="BI140" s="309"/>
    </row>
    <row r="141" spans="1:67" ht="15" customHeight="1">
      <c r="A141" s="309"/>
      <c r="B141" s="310"/>
      <c r="C141" s="310"/>
      <c r="D141" s="310"/>
      <c r="E141" s="310"/>
      <c r="F141" s="310"/>
      <c r="G141" s="310"/>
      <c r="H141" s="310"/>
      <c r="I141" s="310"/>
      <c r="J141" s="310"/>
      <c r="K141" s="311"/>
      <c r="L141" s="311"/>
      <c r="M141" s="311"/>
      <c r="N141" s="309"/>
      <c r="O141" s="309"/>
      <c r="P141" s="309"/>
      <c r="Q141" s="309"/>
      <c r="R141" s="309"/>
      <c r="S141" s="309"/>
      <c r="T141" s="309"/>
      <c r="U141" s="309"/>
      <c r="V141" s="309"/>
      <c r="W141" s="309"/>
      <c r="X141" s="309"/>
      <c r="Y141" s="309"/>
      <c r="Z141" s="309"/>
      <c r="AA141" s="309"/>
      <c r="AB141" s="309"/>
      <c r="AC141" s="309"/>
      <c r="AD141" s="309"/>
      <c r="AE141" s="309"/>
      <c r="AF141" s="309"/>
      <c r="AG141" s="309"/>
      <c r="AH141" s="309"/>
      <c r="AI141" s="309"/>
      <c r="AJ141" s="309"/>
      <c r="AK141" s="309"/>
      <c r="AL141" s="309"/>
      <c r="AM141" s="309"/>
      <c r="AN141" s="309"/>
      <c r="AO141" s="309"/>
      <c r="AP141" s="309"/>
      <c r="AQ141" s="309"/>
      <c r="AR141" s="309"/>
      <c r="AS141" s="309"/>
      <c r="AT141" s="309"/>
      <c r="AU141" s="309"/>
      <c r="AV141" s="309"/>
      <c r="AW141" s="309"/>
      <c r="AX141" s="312"/>
      <c r="AY141" s="309"/>
      <c r="AZ141" s="309"/>
      <c r="BA141" s="309"/>
      <c r="BB141" s="309"/>
      <c r="BC141" s="309"/>
      <c r="BD141" s="309"/>
      <c r="BE141" s="309"/>
      <c r="BF141" s="309"/>
      <c r="BG141" s="309"/>
      <c r="BH141" s="309"/>
      <c r="BI141" s="309"/>
      <c r="BJ141" s="309"/>
      <c r="BK141" s="309"/>
      <c r="BL141" s="309"/>
    </row>
    <row r="142" spans="1:67" ht="15" customHeight="1">
      <c r="A142" s="309"/>
      <c r="B142" s="310"/>
      <c r="C142" s="310"/>
      <c r="D142" s="310"/>
      <c r="E142" s="310"/>
      <c r="F142" s="310"/>
      <c r="G142" s="310"/>
      <c r="H142" s="310"/>
      <c r="I142" s="310"/>
      <c r="J142" s="310"/>
      <c r="K142" s="311"/>
      <c r="L142" s="311"/>
      <c r="M142" s="311"/>
      <c r="N142" s="309"/>
      <c r="O142" s="309"/>
      <c r="P142" s="309"/>
      <c r="Q142" s="309"/>
      <c r="R142" s="309"/>
      <c r="S142" s="309"/>
      <c r="T142" s="309"/>
      <c r="U142" s="309"/>
      <c r="V142" s="309"/>
      <c r="W142" s="309"/>
      <c r="X142" s="309"/>
      <c r="Y142" s="309"/>
      <c r="Z142" s="309"/>
      <c r="AA142" s="309"/>
      <c r="AB142" s="309"/>
      <c r="AC142" s="309"/>
      <c r="AD142" s="309"/>
      <c r="AE142" s="309"/>
      <c r="AF142" s="309"/>
      <c r="AG142" s="309"/>
      <c r="AH142" s="309"/>
      <c r="AI142" s="309"/>
      <c r="AJ142" s="309"/>
      <c r="AK142" s="309"/>
      <c r="AL142" s="309"/>
      <c r="AM142" s="309"/>
      <c r="AN142" s="309"/>
      <c r="AO142" s="309"/>
      <c r="AP142" s="309"/>
      <c r="AQ142" s="309"/>
      <c r="AR142" s="309"/>
      <c r="AS142" s="309"/>
      <c r="AT142" s="309"/>
      <c r="AU142" s="309"/>
      <c r="AV142" s="309"/>
      <c r="AW142" s="309"/>
      <c r="AX142" s="312"/>
      <c r="AY142" s="309"/>
      <c r="AZ142" s="309"/>
      <c r="BA142" s="309"/>
      <c r="BB142" s="309"/>
      <c r="BC142" s="309"/>
      <c r="BD142" s="309"/>
      <c r="BE142" s="309"/>
      <c r="BF142" s="309"/>
      <c r="BG142" s="309"/>
      <c r="BH142" s="309"/>
      <c r="BI142" s="309"/>
      <c r="BJ142" s="309"/>
      <c r="BK142" s="309"/>
      <c r="BL142" s="309"/>
    </row>
    <row r="143" spans="1:67" ht="15" customHeight="1">
      <c r="A143" s="309"/>
      <c r="B143" s="309"/>
      <c r="C143" s="309"/>
      <c r="D143" s="309"/>
      <c r="E143" s="309"/>
      <c r="F143" s="309"/>
      <c r="G143" s="309"/>
      <c r="H143" s="309"/>
      <c r="I143" s="309"/>
      <c r="J143" s="309"/>
      <c r="K143" s="309"/>
      <c r="L143" s="309"/>
      <c r="M143" s="309"/>
      <c r="N143" s="309"/>
      <c r="O143" s="309"/>
      <c r="P143" s="309"/>
      <c r="Q143" s="309"/>
      <c r="R143" s="309"/>
      <c r="S143" s="309"/>
      <c r="T143" s="309"/>
      <c r="U143" s="309"/>
      <c r="V143" s="309"/>
      <c r="W143" s="309"/>
      <c r="X143" s="309"/>
      <c r="Y143" s="309"/>
      <c r="Z143" s="309"/>
      <c r="AA143" s="309"/>
      <c r="AB143" s="309"/>
      <c r="AC143" s="309"/>
      <c r="AD143" s="309"/>
      <c r="AE143" s="309"/>
      <c r="AF143" s="309"/>
      <c r="AG143" s="309"/>
      <c r="AH143" s="309"/>
      <c r="AI143" s="309"/>
      <c r="AJ143" s="309"/>
      <c r="AK143" s="309"/>
      <c r="AL143" s="309"/>
      <c r="AM143" s="309"/>
      <c r="AN143" s="309"/>
      <c r="AO143" s="309"/>
      <c r="AP143" s="309"/>
      <c r="AQ143" s="309"/>
      <c r="AR143" s="309"/>
      <c r="AS143" s="309"/>
      <c r="AT143" s="309"/>
      <c r="AU143" s="309"/>
      <c r="AV143" s="309"/>
      <c r="AW143" s="309"/>
      <c r="AX143" s="312"/>
      <c r="AY143" s="309"/>
      <c r="AZ143" s="309"/>
      <c r="BA143" s="309"/>
      <c r="BB143" s="309"/>
      <c r="BC143" s="309"/>
      <c r="BD143" s="309"/>
      <c r="BE143" s="309"/>
      <c r="BF143" s="309"/>
      <c r="BG143" s="309"/>
      <c r="BH143" s="309"/>
      <c r="BI143" s="309"/>
      <c r="BJ143" s="309"/>
      <c r="BK143" s="309"/>
      <c r="BL143" s="309"/>
    </row>
  </sheetData>
  <mergeCells count="14">
    <mergeCell ref="BH9:BI9"/>
    <mergeCell ref="BJ9:BJ11"/>
    <mergeCell ref="BM9:BM11"/>
    <mergeCell ref="AC10:AE10"/>
    <mergeCell ref="AU10:AU11"/>
    <mergeCell ref="AX10:AX11"/>
    <mergeCell ref="AZ10:AZ11"/>
    <mergeCell ref="BC10:BC11"/>
    <mergeCell ref="C9:C11"/>
    <mergeCell ref="G9:G11"/>
    <mergeCell ref="H9:H11"/>
    <mergeCell ref="P9:R9"/>
    <mergeCell ref="BC9:BE9"/>
    <mergeCell ref="BF9:BG9"/>
  </mergeCells>
  <pageMargins left="0.7" right="0.7" top="0.75" bottom="0.75" header="0.3" footer="0.3"/>
  <pageSetup paperSize="9" orientation="portrait" horizontalDpi="180" verticalDpi="18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F108"/>
  <sheetViews>
    <sheetView topLeftCell="A22" workbookViewId="0">
      <selection activeCell="L22" sqref="L22"/>
    </sheetView>
  </sheetViews>
  <sheetFormatPr defaultRowHeight="15"/>
  <cols>
    <col min="1" max="1" width="5.140625" customWidth="1"/>
    <col min="2" max="2" width="11.85546875" customWidth="1"/>
    <col min="3" max="3" width="16.140625" customWidth="1"/>
    <col min="4" max="4" width="12.5703125" customWidth="1"/>
    <col min="5" max="5" width="51.85546875" customWidth="1"/>
    <col min="6" max="6" width="9.42578125" bestFit="1" customWidth="1"/>
  </cols>
  <sheetData>
    <row r="1" spans="1:6" ht="21">
      <c r="A1" s="315"/>
      <c r="B1" s="316" t="s">
        <v>478</v>
      </c>
      <c r="C1" s="316"/>
      <c r="D1" s="316"/>
      <c r="E1" s="315"/>
      <c r="F1" s="315"/>
    </row>
    <row r="2" spans="1:6" ht="21">
      <c r="A2" s="315"/>
      <c r="B2" s="315"/>
      <c r="C2" s="315"/>
      <c r="D2" s="315"/>
      <c r="E2" s="315"/>
      <c r="F2" s="315"/>
    </row>
    <row r="3" spans="1:6" ht="18.75">
      <c r="A3" s="317" t="s">
        <v>479</v>
      </c>
      <c r="B3" s="317" t="s">
        <v>480</v>
      </c>
      <c r="C3" s="317" t="s">
        <v>481</v>
      </c>
      <c r="D3" s="317" t="s">
        <v>482</v>
      </c>
      <c r="E3" s="317" t="s">
        <v>483</v>
      </c>
      <c r="F3" s="317" t="s">
        <v>484</v>
      </c>
    </row>
    <row r="4" spans="1:6" ht="21">
      <c r="A4" s="318" t="s">
        <v>485</v>
      </c>
      <c r="B4" s="318" t="s">
        <v>36</v>
      </c>
      <c r="C4" s="318" t="s">
        <v>49</v>
      </c>
      <c r="D4" s="319" t="s">
        <v>486</v>
      </c>
      <c r="E4" s="320" t="s">
        <v>487</v>
      </c>
      <c r="F4" s="319"/>
    </row>
    <row r="5" spans="1:6" ht="42">
      <c r="A5" s="318" t="s">
        <v>485</v>
      </c>
      <c r="B5" s="318" t="s">
        <v>485</v>
      </c>
      <c r="C5" s="318" t="s">
        <v>485</v>
      </c>
      <c r="D5" s="319" t="s">
        <v>488</v>
      </c>
      <c r="E5" s="320" t="s">
        <v>489</v>
      </c>
      <c r="F5" s="319">
        <v>0</v>
      </c>
    </row>
    <row r="6" spans="1:6" ht="21">
      <c r="A6" s="318"/>
      <c r="B6" s="318"/>
      <c r="C6" s="318"/>
      <c r="D6" s="318"/>
      <c r="E6" s="321" t="s">
        <v>490</v>
      </c>
      <c r="F6" s="318"/>
    </row>
    <row r="7" spans="1:6" ht="21">
      <c r="A7" s="318"/>
      <c r="B7" s="318"/>
      <c r="C7" s="318"/>
      <c r="D7" s="318"/>
      <c r="E7" s="321" t="s">
        <v>491</v>
      </c>
      <c r="F7" s="318"/>
    </row>
    <row r="8" spans="1:6" ht="21">
      <c r="A8" s="318" t="s">
        <v>485</v>
      </c>
      <c r="B8" s="318" t="s">
        <v>485</v>
      </c>
      <c r="C8" s="318" t="s">
        <v>485</v>
      </c>
      <c r="D8" s="322" t="s">
        <v>492</v>
      </c>
      <c r="E8" s="323" t="s">
        <v>493</v>
      </c>
      <c r="F8" s="324">
        <v>5948.4628899554336</v>
      </c>
    </row>
    <row r="9" spans="1:6" ht="21">
      <c r="A9" s="318"/>
      <c r="B9" s="318"/>
      <c r="C9" s="318"/>
      <c r="D9" s="318"/>
      <c r="E9" s="321" t="s">
        <v>494</v>
      </c>
      <c r="F9" s="325">
        <v>595</v>
      </c>
    </row>
    <row r="10" spans="1:6" ht="21">
      <c r="A10" s="318"/>
      <c r="B10" s="318"/>
      <c r="C10" s="318"/>
      <c r="D10" s="318"/>
      <c r="E10" s="321" t="s">
        <v>495</v>
      </c>
      <c r="F10" s="325">
        <v>104</v>
      </c>
    </row>
    <row r="11" spans="1:6" ht="21">
      <c r="A11" s="318"/>
      <c r="B11" s="318"/>
      <c r="C11" s="318"/>
      <c r="D11" s="318"/>
      <c r="E11" s="321" t="s">
        <v>496</v>
      </c>
      <c r="F11" s="325">
        <v>380.93932122043196</v>
      </c>
    </row>
    <row r="12" spans="1:6" ht="21">
      <c r="A12" s="318"/>
      <c r="B12" s="318"/>
      <c r="C12" s="318"/>
      <c r="D12" s="318"/>
      <c r="E12" s="321" t="s">
        <v>497</v>
      </c>
      <c r="F12" s="325">
        <v>21.427836818649297</v>
      </c>
    </row>
    <row r="13" spans="1:6" ht="21">
      <c r="A13" s="318"/>
      <c r="B13" s="318"/>
      <c r="C13" s="318"/>
      <c r="D13" s="318"/>
      <c r="E13" s="321" t="s">
        <v>498</v>
      </c>
      <c r="F13" s="325">
        <v>273.80013712718545</v>
      </c>
    </row>
    <row r="14" spans="1:6" ht="21">
      <c r="A14" s="318"/>
      <c r="B14" s="318"/>
      <c r="C14" s="318"/>
      <c r="D14" s="318"/>
      <c r="E14" s="321" t="s">
        <v>499</v>
      </c>
      <c r="F14" s="325">
        <v>2278.0171408981832</v>
      </c>
    </row>
    <row r="15" spans="1:6" ht="21">
      <c r="A15" s="318"/>
      <c r="B15" s="318"/>
      <c r="C15" s="318"/>
      <c r="D15" s="318"/>
      <c r="E15" s="321" t="s">
        <v>500</v>
      </c>
      <c r="F15" s="325"/>
    </row>
    <row r="16" spans="1:6" ht="21">
      <c r="A16" s="318"/>
      <c r="B16" s="318"/>
      <c r="C16" s="318"/>
      <c r="D16" s="318"/>
      <c r="E16" s="321" t="s">
        <v>501</v>
      </c>
      <c r="F16" s="325">
        <v>45.236544394926298</v>
      </c>
    </row>
    <row r="17" spans="1:6" ht="36" customHeight="1">
      <c r="A17" s="318"/>
      <c r="B17" s="318"/>
      <c r="C17" s="318"/>
      <c r="D17" s="318"/>
      <c r="E17" s="326" t="s">
        <v>502</v>
      </c>
      <c r="F17" s="325">
        <v>350.82130613644159</v>
      </c>
    </row>
    <row r="18" spans="1:6" ht="21">
      <c r="A18" s="318"/>
      <c r="B18" s="318"/>
      <c r="C18" s="318"/>
      <c r="D18" s="318"/>
      <c r="E18" s="321" t="s">
        <v>503</v>
      </c>
      <c r="F18" s="325">
        <v>504.14938292766539</v>
      </c>
    </row>
    <row r="19" spans="1:6" ht="21">
      <c r="A19" s="318"/>
      <c r="B19" s="318"/>
      <c r="C19" s="318"/>
      <c r="D19" s="318"/>
      <c r="E19" s="321" t="s">
        <v>504</v>
      </c>
      <c r="F19" s="325"/>
    </row>
    <row r="20" spans="1:6" ht="21">
      <c r="A20" s="318"/>
      <c r="B20" s="318"/>
      <c r="C20" s="318"/>
      <c r="D20" s="318"/>
      <c r="E20" s="321" t="s">
        <v>505</v>
      </c>
      <c r="F20" s="325">
        <v>291.65666780939324</v>
      </c>
    </row>
    <row r="21" spans="1:6" ht="21">
      <c r="A21" s="318"/>
      <c r="B21" s="318"/>
      <c r="C21" s="318"/>
      <c r="D21" s="318"/>
      <c r="E21" s="321" t="s">
        <v>506</v>
      </c>
      <c r="F21" s="325">
        <v>949.96743229345225</v>
      </c>
    </row>
    <row r="22" spans="1:6" ht="21">
      <c r="A22" s="318"/>
      <c r="B22" s="318"/>
      <c r="C22" s="318"/>
      <c r="D22" s="318"/>
      <c r="E22" s="321" t="s">
        <v>507</v>
      </c>
      <c r="F22" s="325">
        <v>153.44712032910525</v>
      </c>
    </row>
    <row r="23" spans="1:6" ht="21">
      <c r="A23" s="318" t="s">
        <v>485</v>
      </c>
      <c r="B23" s="318" t="s">
        <v>485</v>
      </c>
      <c r="C23" s="318" t="s">
        <v>485</v>
      </c>
      <c r="D23" s="322" t="s">
        <v>508</v>
      </c>
      <c r="E23" s="323" t="s">
        <v>509</v>
      </c>
      <c r="F23" s="322">
        <v>12514</v>
      </c>
    </row>
    <row r="24" spans="1:6" ht="21">
      <c r="A24" s="318"/>
      <c r="B24" s="318"/>
      <c r="C24" s="318"/>
      <c r="D24" s="318"/>
      <c r="E24" s="321" t="s">
        <v>510</v>
      </c>
      <c r="F24" s="318">
        <v>1494</v>
      </c>
    </row>
    <row r="25" spans="1:6" ht="21">
      <c r="A25" s="318"/>
      <c r="B25" s="318"/>
      <c r="C25" s="318"/>
      <c r="D25" s="318"/>
      <c r="E25" s="321" t="s">
        <v>511</v>
      </c>
      <c r="F25" s="318">
        <v>1294</v>
      </c>
    </row>
    <row r="26" spans="1:6" ht="21">
      <c r="A26" s="318"/>
      <c r="B26" s="318"/>
      <c r="C26" s="318"/>
      <c r="D26" s="318"/>
      <c r="E26" s="321" t="s">
        <v>512</v>
      </c>
      <c r="F26" s="318">
        <v>3322</v>
      </c>
    </row>
    <row r="27" spans="1:6" ht="21">
      <c r="A27" s="318"/>
      <c r="B27" s="318"/>
      <c r="C27" s="318"/>
      <c r="D27" s="318"/>
      <c r="E27" s="321" t="s">
        <v>513</v>
      </c>
      <c r="F27" s="318">
        <v>6404</v>
      </c>
    </row>
    <row r="28" spans="1:6" ht="21">
      <c r="A28" s="318" t="s">
        <v>485</v>
      </c>
      <c r="B28" s="318" t="s">
        <v>485</v>
      </c>
      <c r="C28" s="318" t="s">
        <v>485</v>
      </c>
      <c r="D28" s="322" t="s">
        <v>514</v>
      </c>
      <c r="E28" s="323" t="s">
        <v>515</v>
      </c>
      <c r="F28" s="322">
        <v>2018.4</v>
      </c>
    </row>
    <row r="29" spans="1:6" ht="21">
      <c r="A29" s="318"/>
      <c r="B29" s="318"/>
      <c r="C29" s="318"/>
      <c r="D29" s="318"/>
      <c r="E29" s="321" t="s">
        <v>516</v>
      </c>
      <c r="F29" s="318">
        <v>110.39999999999999</v>
      </c>
    </row>
    <row r="30" spans="1:6" ht="21">
      <c r="A30" s="318"/>
      <c r="B30" s="318"/>
      <c r="C30" s="318"/>
      <c r="D30" s="318"/>
      <c r="E30" s="321" t="s">
        <v>517</v>
      </c>
      <c r="F30" s="318"/>
    </row>
    <row r="31" spans="1:6" ht="21">
      <c r="A31" s="318"/>
      <c r="B31" s="318"/>
      <c r="C31" s="318"/>
      <c r="D31" s="318"/>
      <c r="E31" s="321" t="s">
        <v>518</v>
      </c>
      <c r="F31" s="318"/>
    </row>
    <row r="32" spans="1:6" ht="21">
      <c r="A32" s="318"/>
      <c r="B32" s="318"/>
      <c r="C32" s="318"/>
      <c r="D32" s="318"/>
      <c r="E32" s="321" t="s">
        <v>519</v>
      </c>
      <c r="F32" s="318">
        <v>1908</v>
      </c>
    </row>
    <row r="33" spans="1:6" ht="21">
      <c r="A33" s="318"/>
      <c r="B33" s="318"/>
      <c r="C33" s="318"/>
      <c r="D33" s="318"/>
      <c r="E33" s="321" t="s">
        <v>520</v>
      </c>
      <c r="F33" s="318"/>
    </row>
    <row r="34" spans="1:6" ht="21">
      <c r="A34" s="318"/>
      <c r="B34" s="318"/>
      <c r="C34" s="318"/>
      <c r="D34" s="318"/>
      <c r="E34" s="321" t="s">
        <v>521</v>
      </c>
      <c r="F34" s="318"/>
    </row>
    <row r="35" spans="1:6" ht="21">
      <c r="A35" s="318"/>
      <c r="B35" s="318"/>
      <c r="C35" s="318"/>
      <c r="D35" s="318"/>
      <c r="E35" s="321" t="s">
        <v>522</v>
      </c>
      <c r="F35" s="318"/>
    </row>
    <row r="36" spans="1:6" ht="21">
      <c r="A36" s="318" t="s">
        <v>485</v>
      </c>
      <c r="B36" s="318" t="s">
        <v>485</v>
      </c>
      <c r="C36" s="318" t="s">
        <v>485</v>
      </c>
      <c r="D36" s="322" t="s">
        <v>523</v>
      </c>
      <c r="E36" s="323" t="s">
        <v>524</v>
      </c>
      <c r="F36" s="324">
        <v>25857.670449091536</v>
      </c>
    </row>
    <row r="37" spans="1:6" ht="42">
      <c r="A37" s="318"/>
      <c r="B37" s="318"/>
      <c r="C37" s="318"/>
      <c r="D37" s="318"/>
      <c r="E37" s="326" t="s">
        <v>525</v>
      </c>
      <c r="F37" s="318">
        <v>48</v>
      </c>
    </row>
    <row r="38" spans="1:6" ht="21">
      <c r="A38" s="318"/>
      <c r="B38" s="318"/>
      <c r="C38" s="318"/>
      <c r="D38" s="318"/>
      <c r="E38" s="321" t="s">
        <v>526</v>
      </c>
      <c r="F38" s="318">
        <v>38</v>
      </c>
    </row>
    <row r="39" spans="1:6" ht="21">
      <c r="A39" s="318"/>
      <c r="B39" s="318"/>
      <c r="C39" s="318"/>
      <c r="D39" s="318"/>
      <c r="E39" s="321" t="s">
        <v>527</v>
      </c>
      <c r="F39" s="318">
        <v>121</v>
      </c>
    </row>
    <row r="40" spans="1:6" ht="21">
      <c r="A40" s="318"/>
      <c r="B40" s="318"/>
      <c r="C40" s="318"/>
      <c r="D40" s="318"/>
      <c r="E40" s="321" t="s">
        <v>528</v>
      </c>
      <c r="F40" s="318">
        <v>1110</v>
      </c>
    </row>
    <row r="41" spans="1:6" ht="21">
      <c r="A41" s="318"/>
      <c r="B41" s="318"/>
      <c r="C41" s="318"/>
      <c r="D41" s="318"/>
      <c r="E41" s="321" t="s">
        <v>529</v>
      </c>
      <c r="F41" s="318">
        <v>386</v>
      </c>
    </row>
    <row r="42" spans="1:6" ht="21">
      <c r="A42" s="318"/>
      <c r="B42" s="318"/>
      <c r="C42" s="318"/>
      <c r="D42" s="318"/>
      <c r="E42" s="321" t="s">
        <v>530</v>
      </c>
      <c r="F42" s="318">
        <v>246</v>
      </c>
    </row>
    <row r="43" spans="1:6" ht="21">
      <c r="A43" s="318"/>
      <c r="B43" s="318"/>
      <c r="C43" s="318"/>
      <c r="D43" s="318"/>
      <c r="E43" s="321" t="s">
        <v>531</v>
      </c>
      <c r="F43" s="318">
        <v>34.5</v>
      </c>
    </row>
    <row r="44" spans="1:6" ht="21">
      <c r="A44" s="318"/>
      <c r="B44" s="318"/>
      <c r="C44" s="318"/>
      <c r="D44" s="318"/>
      <c r="E44" s="321" t="s">
        <v>532</v>
      </c>
      <c r="F44" s="318">
        <v>152</v>
      </c>
    </row>
    <row r="45" spans="1:6" ht="21">
      <c r="A45" s="318"/>
      <c r="B45" s="318"/>
      <c r="C45" s="318"/>
      <c r="D45" s="318"/>
      <c r="E45" s="321" t="s">
        <v>533</v>
      </c>
      <c r="F45" s="318">
        <v>59.2</v>
      </c>
    </row>
    <row r="46" spans="1:6" ht="21">
      <c r="A46" s="318"/>
      <c r="B46" s="318"/>
      <c r="C46" s="318"/>
      <c r="D46" s="318"/>
      <c r="E46" s="321" t="s">
        <v>534</v>
      </c>
      <c r="F46" s="318">
        <v>150</v>
      </c>
    </row>
    <row r="47" spans="1:6" ht="21">
      <c r="A47" s="318"/>
      <c r="B47" s="318"/>
      <c r="C47" s="318"/>
      <c r="D47" s="318"/>
      <c r="E47" s="321" t="s">
        <v>535</v>
      </c>
      <c r="F47" s="318">
        <v>20269</v>
      </c>
    </row>
    <row r="48" spans="1:6" ht="42">
      <c r="A48" s="318"/>
      <c r="B48" s="318"/>
      <c r="C48" s="318"/>
      <c r="D48" s="318"/>
      <c r="E48" s="326" t="s">
        <v>536</v>
      </c>
      <c r="F48" s="318">
        <v>80</v>
      </c>
    </row>
    <row r="49" spans="1:6" ht="42">
      <c r="A49" s="318"/>
      <c r="B49" s="318"/>
      <c r="C49" s="318"/>
      <c r="D49" s="318"/>
      <c r="E49" s="326" t="s">
        <v>537</v>
      </c>
      <c r="F49" s="318">
        <v>7.5</v>
      </c>
    </row>
    <row r="50" spans="1:6" ht="42">
      <c r="A50" s="318"/>
      <c r="B50" s="318"/>
      <c r="C50" s="318"/>
      <c r="D50" s="318"/>
      <c r="E50" s="326" t="s">
        <v>538</v>
      </c>
      <c r="F50" s="318">
        <v>44</v>
      </c>
    </row>
    <row r="51" spans="1:6" ht="21">
      <c r="A51" s="318"/>
      <c r="B51" s="318"/>
      <c r="C51" s="318"/>
      <c r="D51" s="318"/>
      <c r="E51" s="321" t="s">
        <v>539</v>
      </c>
      <c r="F51" s="318">
        <v>341</v>
      </c>
    </row>
    <row r="52" spans="1:6" ht="42">
      <c r="A52" s="318"/>
      <c r="B52" s="318"/>
      <c r="C52" s="318"/>
      <c r="D52" s="318"/>
      <c r="E52" s="326" t="s">
        <v>540</v>
      </c>
      <c r="F52" s="318">
        <v>308</v>
      </c>
    </row>
    <row r="53" spans="1:6" ht="42">
      <c r="A53" s="318"/>
      <c r="B53" s="318"/>
      <c r="C53" s="318"/>
      <c r="D53" s="318"/>
      <c r="E53" s="326" t="s">
        <v>541</v>
      </c>
      <c r="F53" s="318">
        <v>290</v>
      </c>
    </row>
    <row r="54" spans="1:6" ht="21">
      <c r="A54" s="318"/>
      <c r="B54" s="318"/>
      <c r="C54" s="318"/>
      <c r="D54" s="318"/>
      <c r="E54" s="321" t="s">
        <v>542</v>
      </c>
      <c r="F54" s="318">
        <v>30</v>
      </c>
    </row>
    <row r="55" spans="1:6" ht="42">
      <c r="A55" s="318"/>
      <c r="B55" s="318"/>
      <c r="C55" s="318"/>
      <c r="D55" s="318"/>
      <c r="E55" s="326" t="s">
        <v>543</v>
      </c>
      <c r="F55" s="318">
        <v>30</v>
      </c>
    </row>
    <row r="56" spans="1:6" ht="21">
      <c r="A56" s="318"/>
      <c r="B56" s="318"/>
      <c r="C56" s="318"/>
      <c r="D56" s="318"/>
      <c r="E56" s="321" t="s">
        <v>544</v>
      </c>
      <c r="F56" s="318">
        <v>495</v>
      </c>
    </row>
    <row r="57" spans="1:6" ht="63">
      <c r="A57" s="318"/>
      <c r="B57" s="318"/>
      <c r="C57" s="318"/>
      <c r="D57" s="318"/>
      <c r="E57" s="326" t="s">
        <v>545</v>
      </c>
      <c r="F57" s="318">
        <v>806</v>
      </c>
    </row>
    <row r="58" spans="1:6" ht="21">
      <c r="A58" s="318"/>
      <c r="B58" s="318"/>
      <c r="C58" s="318"/>
      <c r="D58" s="318"/>
      <c r="E58" s="321" t="s">
        <v>546</v>
      </c>
      <c r="F58" s="318"/>
    </row>
    <row r="59" spans="1:6" ht="63">
      <c r="A59" s="318"/>
      <c r="B59" s="318"/>
      <c r="C59" s="318"/>
      <c r="D59" s="318"/>
      <c r="E59" s="326" t="s">
        <v>547</v>
      </c>
      <c r="F59" s="318"/>
    </row>
    <row r="60" spans="1:6" ht="21">
      <c r="A60" s="318"/>
      <c r="B60" s="318"/>
      <c r="C60" s="318"/>
      <c r="D60" s="318"/>
      <c r="E60" s="321" t="s">
        <v>548</v>
      </c>
      <c r="F60" s="318">
        <v>99</v>
      </c>
    </row>
    <row r="61" spans="1:6" ht="21">
      <c r="A61" s="318"/>
      <c r="B61" s="318"/>
      <c r="C61" s="318"/>
      <c r="D61" s="318"/>
      <c r="E61" s="321" t="s">
        <v>549</v>
      </c>
      <c r="F61" s="318">
        <v>488</v>
      </c>
    </row>
    <row r="62" spans="1:6" ht="45" customHeight="1">
      <c r="A62" s="318"/>
      <c r="B62" s="318"/>
      <c r="C62" s="318"/>
      <c r="D62" s="318"/>
      <c r="E62" s="327" t="s">
        <v>550</v>
      </c>
      <c r="F62" s="328">
        <v>20</v>
      </c>
    </row>
    <row r="63" spans="1:6" ht="21">
      <c r="A63" s="318"/>
      <c r="B63" s="318"/>
      <c r="C63" s="318"/>
      <c r="D63" s="318"/>
      <c r="E63" s="321" t="s">
        <v>551</v>
      </c>
      <c r="F63" s="318">
        <v>0</v>
      </c>
    </row>
    <row r="64" spans="1:6" ht="21">
      <c r="A64" s="318"/>
      <c r="B64" s="318"/>
      <c r="C64" s="318"/>
      <c r="D64" s="318"/>
      <c r="E64" s="321" t="s">
        <v>552</v>
      </c>
      <c r="F64" s="318">
        <v>15.5</v>
      </c>
    </row>
    <row r="65" spans="1:6" ht="21">
      <c r="A65" s="318"/>
      <c r="B65" s="318"/>
      <c r="C65" s="318"/>
      <c r="D65" s="318"/>
      <c r="E65" s="321" t="s">
        <v>553</v>
      </c>
      <c r="F65" s="329">
        <v>28.570449091532396</v>
      </c>
    </row>
    <row r="66" spans="1:6" ht="21">
      <c r="A66" s="318"/>
      <c r="B66" s="318"/>
      <c r="C66" s="318"/>
      <c r="D66" s="318"/>
      <c r="E66" s="321" t="s">
        <v>554</v>
      </c>
      <c r="F66" s="318">
        <v>3.4</v>
      </c>
    </row>
    <row r="67" spans="1:6" ht="42">
      <c r="A67" s="318"/>
      <c r="B67" s="318"/>
      <c r="C67" s="318"/>
      <c r="D67" s="318"/>
      <c r="E67" s="326" t="s">
        <v>555</v>
      </c>
      <c r="F67" s="318">
        <v>73</v>
      </c>
    </row>
    <row r="68" spans="1:6" ht="42">
      <c r="A68" s="318"/>
      <c r="B68" s="318"/>
      <c r="C68" s="318"/>
      <c r="D68" s="318"/>
      <c r="E68" s="326" t="s">
        <v>556</v>
      </c>
      <c r="F68" s="318">
        <v>85</v>
      </c>
    </row>
    <row r="69" spans="1:6" ht="42">
      <c r="A69" s="318" t="s">
        <v>485</v>
      </c>
      <c r="B69" s="318" t="s">
        <v>485</v>
      </c>
      <c r="C69" s="318" t="s">
        <v>485</v>
      </c>
      <c r="D69" s="319" t="s">
        <v>557</v>
      </c>
      <c r="E69" s="320" t="s">
        <v>558</v>
      </c>
      <c r="F69" s="330">
        <v>15339.576150366094</v>
      </c>
    </row>
    <row r="70" spans="1:6" ht="42">
      <c r="A70" s="318"/>
      <c r="B70" s="318"/>
      <c r="C70" s="318"/>
      <c r="D70" s="318"/>
      <c r="E70" s="326" t="s">
        <v>559</v>
      </c>
      <c r="F70" s="325">
        <v>7550.9426751592355</v>
      </c>
    </row>
    <row r="71" spans="1:6" ht="42">
      <c r="A71" s="318"/>
      <c r="B71" s="318"/>
      <c r="C71" s="318"/>
      <c r="D71" s="318"/>
      <c r="E71" s="326" t="s">
        <v>560</v>
      </c>
      <c r="F71" s="325">
        <v>1567.8853503184712</v>
      </c>
    </row>
    <row r="72" spans="1:6" ht="21">
      <c r="A72" s="318"/>
      <c r="B72" s="318"/>
      <c r="C72" s="318"/>
      <c r="D72" s="318"/>
      <c r="E72" s="321" t="s">
        <v>561</v>
      </c>
      <c r="F72" s="325">
        <v>650</v>
      </c>
    </row>
    <row r="73" spans="1:6" ht="42">
      <c r="A73" s="318"/>
      <c r="B73" s="318"/>
      <c r="C73" s="318"/>
      <c r="D73" s="318"/>
      <c r="E73" s="326" t="s">
        <v>562</v>
      </c>
      <c r="F73" s="325">
        <v>3842.0841121495328</v>
      </c>
    </row>
    <row r="74" spans="1:6" ht="42">
      <c r="A74" s="318"/>
      <c r="B74" s="318"/>
      <c r="C74" s="318"/>
      <c r="D74" s="318"/>
      <c r="E74" s="326" t="s">
        <v>563</v>
      </c>
      <c r="F74" s="325">
        <v>1728.6640127388537</v>
      </c>
    </row>
    <row r="75" spans="1:6" ht="21">
      <c r="A75" s="318" t="s">
        <v>485</v>
      </c>
      <c r="B75" s="318" t="s">
        <v>485</v>
      </c>
      <c r="C75" s="318" t="s">
        <v>485</v>
      </c>
      <c r="D75" s="319" t="s">
        <v>564</v>
      </c>
      <c r="E75" s="331" t="s">
        <v>565</v>
      </c>
      <c r="F75" s="319">
        <v>171</v>
      </c>
    </row>
    <row r="76" spans="1:6" ht="70.5" customHeight="1">
      <c r="A76" s="332" t="s">
        <v>566</v>
      </c>
      <c r="B76" s="332" t="s">
        <v>63</v>
      </c>
      <c r="C76" s="332" t="s">
        <v>49</v>
      </c>
      <c r="D76" s="332"/>
      <c r="E76" s="333" t="s">
        <v>567</v>
      </c>
      <c r="F76" s="332">
        <v>14339</v>
      </c>
    </row>
    <row r="77" spans="1:6" ht="84">
      <c r="A77" s="318" t="s">
        <v>485</v>
      </c>
      <c r="B77" s="318" t="s">
        <v>485</v>
      </c>
      <c r="C77" s="318" t="s">
        <v>485</v>
      </c>
      <c r="D77" s="322" t="s">
        <v>568</v>
      </c>
      <c r="E77" s="334" t="s">
        <v>569</v>
      </c>
      <c r="F77" s="322">
        <v>14339</v>
      </c>
    </row>
    <row r="78" spans="1:6" ht="21">
      <c r="A78" s="318"/>
      <c r="B78" s="318"/>
      <c r="C78" s="318"/>
      <c r="D78" s="335" t="s">
        <v>570</v>
      </c>
      <c r="E78" s="336"/>
      <c r="F78" s="336"/>
    </row>
    <row r="79" spans="1:6" ht="21">
      <c r="A79" s="318"/>
      <c r="B79" s="318"/>
      <c r="C79" s="318"/>
      <c r="D79" s="318"/>
      <c r="E79" s="321" t="s">
        <v>571</v>
      </c>
      <c r="F79" s="318">
        <v>11767</v>
      </c>
    </row>
    <row r="80" spans="1:6" ht="21">
      <c r="A80" s="318"/>
      <c r="B80" s="318"/>
      <c r="C80" s="318"/>
      <c r="D80" s="318"/>
      <c r="E80" s="321" t="s">
        <v>572</v>
      </c>
      <c r="F80" s="318"/>
    </row>
    <row r="81" spans="1:6" ht="21">
      <c r="A81" s="318"/>
      <c r="B81" s="318"/>
      <c r="C81" s="318"/>
      <c r="D81" s="318"/>
      <c r="E81" s="321" t="s">
        <v>573</v>
      </c>
      <c r="F81" s="318"/>
    </row>
    <row r="82" spans="1:6" ht="21">
      <c r="A82" s="318"/>
      <c r="B82" s="318"/>
      <c r="C82" s="318"/>
      <c r="D82" s="318"/>
      <c r="E82" s="321" t="s">
        <v>574</v>
      </c>
      <c r="F82" s="318">
        <v>2572</v>
      </c>
    </row>
    <row r="83" spans="1:6" ht="21">
      <c r="A83" s="337">
        <v>261</v>
      </c>
      <c r="B83" s="337">
        <v>81</v>
      </c>
      <c r="C83" s="338" t="s">
        <v>49</v>
      </c>
      <c r="D83" s="337"/>
      <c r="E83" s="339" t="s">
        <v>575</v>
      </c>
      <c r="F83" s="337" t="s">
        <v>484</v>
      </c>
    </row>
    <row r="84" spans="1:6" ht="21">
      <c r="A84" s="318"/>
      <c r="B84" s="318"/>
      <c r="C84" s="340"/>
      <c r="D84" s="318">
        <v>142</v>
      </c>
      <c r="E84" s="321" t="s">
        <v>576</v>
      </c>
      <c r="F84" s="318"/>
    </row>
    <row r="85" spans="1:6" ht="21">
      <c r="A85" s="319"/>
      <c r="B85" s="319"/>
      <c r="C85" s="341"/>
      <c r="D85" s="319">
        <v>149</v>
      </c>
      <c r="E85" s="323" t="s">
        <v>493</v>
      </c>
      <c r="F85" s="322">
        <f t="shared" ref="F85" si="0">F86+F87+F88+F89+F90+F91+F92+F93+F94+F95+F96+F97</f>
        <v>0</v>
      </c>
    </row>
    <row r="86" spans="1:6" ht="21">
      <c r="A86" s="321"/>
      <c r="B86" s="321"/>
      <c r="C86" s="321"/>
      <c r="D86" s="318"/>
      <c r="E86" s="321" t="s">
        <v>577</v>
      </c>
      <c r="F86" s="318"/>
    </row>
    <row r="87" spans="1:6" ht="21">
      <c r="A87" s="321"/>
      <c r="B87" s="321"/>
      <c r="C87" s="321"/>
      <c r="D87" s="318"/>
      <c r="E87" s="321" t="s">
        <v>578</v>
      </c>
      <c r="F87" s="318"/>
    </row>
    <row r="88" spans="1:6" ht="21">
      <c r="A88" s="321"/>
      <c r="B88" s="321"/>
      <c r="C88" s="321"/>
      <c r="D88" s="318"/>
      <c r="E88" s="321" t="s">
        <v>579</v>
      </c>
      <c r="F88" s="318"/>
    </row>
    <row r="89" spans="1:6" ht="21">
      <c r="A89" s="321"/>
      <c r="B89" s="321"/>
      <c r="C89" s="321"/>
      <c r="D89" s="318"/>
      <c r="E89" s="321" t="s">
        <v>580</v>
      </c>
      <c r="F89" s="318"/>
    </row>
    <row r="90" spans="1:6" ht="21">
      <c r="A90" s="321"/>
      <c r="B90" s="321"/>
      <c r="C90" s="321"/>
      <c r="D90" s="321"/>
      <c r="E90" s="321" t="s">
        <v>581</v>
      </c>
      <c r="F90" s="318"/>
    </row>
    <row r="91" spans="1:6" ht="21">
      <c r="A91" s="321"/>
      <c r="B91" s="321"/>
      <c r="C91" s="321"/>
      <c r="D91" s="321"/>
      <c r="E91" s="321" t="s">
        <v>582</v>
      </c>
      <c r="F91" s="318"/>
    </row>
    <row r="92" spans="1:6" ht="21">
      <c r="A92" s="321"/>
      <c r="B92" s="321"/>
      <c r="C92" s="321"/>
      <c r="D92" s="321"/>
      <c r="E92" s="321" t="s">
        <v>583</v>
      </c>
      <c r="F92" s="318"/>
    </row>
    <row r="93" spans="1:6" ht="21">
      <c r="A93" s="321"/>
      <c r="B93" s="321"/>
      <c r="C93" s="321"/>
      <c r="D93" s="321"/>
      <c r="E93" s="321" t="s">
        <v>584</v>
      </c>
      <c r="F93" s="318"/>
    </row>
    <row r="94" spans="1:6" ht="21">
      <c r="A94" s="321"/>
      <c r="B94" s="321"/>
      <c r="C94" s="321"/>
      <c r="D94" s="321"/>
      <c r="E94" s="321" t="s">
        <v>585</v>
      </c>
      <c r="F94" s="318"/>
    </row>
    <row r="95" spans="1:6" ht="21">
      <c r="A95" s="321"/>
      <c r="B95" s="321"/>
      <c r="C95" s="321"/>
      <c r="D95" s="321"/>
      <c r="E95" s="321" t="s">
        <v>586</v>
      </c>
      <c r="F95" s="318"/>
    </row>
    <row r="96" spans="1:6" ht="21">
      <c r="A96" s="321"/>
      <c r="B96" s="321"/>
      <c r="C96" s="321"/>
      <c r="D96" s="321"/>
      <c r="E96" s="321" t="s">
        <v>587</v>
      </c>
      <c r="F96" s="318"/>
    </row>
    <row r="97" spans="1:6" ht="21">
      <c r="A97" s="321"/>
      <c r="B97" s="321"/>
      <c r="C97" s="321"/>
      <c r="D97" s="321"/>
      <c r="E97" s="321" t="s">
        <v>588</v>
      </c>
      <c r="F97" s="318"/>
    </row>
    <row r="98" spans="1:6" ht="21">
      <c r="A98" s="321"/>
      <c r="B98" s="321"/>
      <c r="C98" s="321"/>
      <c r="D98" s="321"/>
      <c r="E98" s="321" t="s">
        <v>589</v>
      </c>
      <c r="F98" s="318"/>
    </row>
    <row r="99" spans="1:6" ht="21">
      <c r="A99" s="319"/>
      <c r="B99" s="319"/>
      <c r="C99" s="319"/>
      <c r="D99" s="322">
        <v>159</v>
      </c>
      <c r="E99" s="323" t="s">
        <v>524</v>
      </c>
      <c r="F99" s="322">
        <f t="shared" ref="F99" si="1">F100+F101+F102</f>
        <v>0</v>
      </c>
    </row>
    <row r="100" spans="1:6" ht="21">
      <c r="A100" s="321"/>
      <c r="B100" s="321"/>
      <c r="C100" s="321"/>
      <c r="D100" s="321"/>
      <c r="E100" s="321" t="s">
        <v>590</v>
      </c>
      <c r="F100" s="318"/>
    </row>
    <row r="101" spans="1:6" ht="21">
      <c r="A101" s="321"/>
      <c r="B101" s="321"/>
      <c r="C101" s="321"/>
      <c r="D101" s="321"/>
      <c r="E101" s="321" t="s">
        <v>591</v>
      </c>
      <c r="F101" s="318"/>
    </row>
    <row r="102" spans="1:6" ht="42">
      <c r="A102" s="321"/>
      <c r="B102" s="321"/>
      <c r="C102" s="321"/>
      <c r="D102" s="321"/>
      <c r="E102" s="326" t="s">
        <v>592</v>
      </c>
      <c r="F102" s="318"/>
    </row>
    <row r="103" spans="1:6" ht="66.75" customHeight="1">
      <c r="A103" s="322"/>
      <c r="B103" s="322"/>
      <c r="C103" s="322"/>
      <c r="D103" s="322">
        <v>414</v>
      </c>
      <c r="E103" s="342" t="s">
        <v>569</v>
      </c>
      <c r="F103" s="322">
        <f t="shared" ref="F103" si="2">F104</f>
        <v>0</v>
      </c>
    </row>
    <row r="104" spans="1:6" ht="21">
      <c r="A104" s="321"/>
      <c r="B104" s="321"/>
      <c r="C104" s="321"/>
      <c r="D104" s="321"/>
      <c r="E104" s="321" t="s">
        <v>593</v>
      </c>
      <c r="F104" s="318"/>
    </row>
    <row r="105" spans="1:6" ht="66" customHeight="1">
      <c r="A105" s="322"/>
      <c r="B105" s="322"/>
      <c r="C105" s="322"/>
      <c r="D105" s="322">
        <v>419</v>
      </c>
      <c r="E105" s="342" t="s">
        <v>569</v>
      </c>
      <c r="F105" s="322">
        <f t="shared" ref="F105" si="3">F106+F107</f>
        <v>0</v>
      </c>
    </row>
    <row r="106" spans="1:6" ht="21">
      <c r="A106" s="321"/>
      <c r="B106" s="321"/>
      <c r="C106" s="321"/>
      <c r="D106" s="321"/>
      <c r="E106" s="321" t="s">
        <v>594</v>
      </c>
      <c r="F106" s="318"/>
    </row>
    <row r="107" spans="1:6" ht="21">
      <c r="A107" s="321"/>
      <c r="B107" s="321"/>
      <c r="C107" s="321"/>
      <c r="D107" s="321"/>
      <c r="E107" s="321" t="s">
        <v>595</v>
      </c>
      <c r="F107" s="318"/>
    </row>
    <row r="108" spans="1:6" ht="21">
      <c r="A108" s="315"/>
      <c r="B108" s="315"/>
      <c r="C108" s="315"/>
      <c r="D108" s="315"/>
      <c r="E108" s="315"/>
      <c r="F108" s="315"/>
    </row>
  </sheetData>
  <mergeCells count="2">
    <mergeCell ref="B1:D1"/>
    <mergeCell ref="D78:F78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N92"/>
  <sheetViews>
    <sheetView tabSelected="1" workbookViewId="0">
      <selection activeCell="J107" sqref="J107"/>
    </sheetView>
  </sheetViews>
  <sheetFormatPr defaultRowHeight="15"/>
  <cols>
    <col min="1" max="1" width="24.42578125" customWidth="1"/>
  </cols>
  <sheetData>
    <row r="1" spans="1:14">
      <c r="A1" s="343" t="s">
        <v>597</v>
      </c>
      <c r="B1" s="2"/>
      <c r="C1" s="2"/>
      <c r="D1" s="2"/>
      <c r="E1" s="2"/>
      <c r="F1" s="2"/>
      <c r="G1" s="2"/>
      <c r="H1" s="2"/>
      <c r="I1" s="343" t="s">
        <v>598</v>
      </c>
      <c r="J1" s="2"/>
      <c r="K1" s="2"/>
      <c r="L1" s="2"/>
      <c r="M1" s="344"/>
      <c r="N1" s="2"/>
    </row>
    <row r="2" spans="1:14">
      <c r="A2" s="343" t="s">
        <v>599</v>
      </c>
      <c r="B2" s="2"/>
      <c r="C2" s="2"/>
      <c r="D2" s="2"/>
      <c r="E2" s="2"/>
      <c r="F2" s="345"/>
      <c r="G2" s="345"/>
      <c r="H2" s="346" t="s">
        <v>600</v>
      </c>
      <c r="I2" s="2"/>
      <c r="J2" s="2"/>
      <c r="K2" s="2"/>
      <c r="L2" s="2"/>
      <c r="M2" s="344"/>
      <c r="N2" s="2"/>
    </row>
    <row r="3" spans="1:14">
      <c r="A3" s="343" t="s">
        <v>601</v>
      </c>
      <c r="B3" s="2"/>
      <c r="C3" s="2"/>
      <c r="D3" s="2"/>
      <c r="E3" s="2"/>
      <c r="F3" s="345"/>
      <c r="G3" s="345"/>
      <c r="H3" s="346" t="s">
        <v>602</v>
      </c>
      <c r="I3" s="2"/>
      <c r="J3" s="346"/>
      <c r="K3" s="346"/>
      <c r="L3" s="346"/>
      <c r="M3" s="344"/>
      <c r="N3" s="2"/>
    </row>
    <row r="4" spans="1:14">
      <c r="A4" s="343" t="s">
        <v>603</v>
      </c>
      <c r="B4" s="347"/>
      <c r="C4" s="2"/>
      <c r="D4" s="2"/>
      <c r="E4" s="2"/>
      <c r="F4" s="345"/>
      <c r="G4" s="345"/>
      <c r="H4" s="346" t="s">
        <v>604</v>
      </c>
      <c r="I4" s="2"/>
      <c r="J4" s="346"/>
      <c r="K4" s="346"/>
      <c r="L4" s="346"/>
      <c r="M4" s="344"/>
      <c r="N4" s="2"/>
    </row>
    <row r="5" spans="1:14">
      <c r="A5" s="343"/>
      <c r="B5" s="2"/>
      <c r="C5" s="2"/>
      <c r="D5" s="2"/>
      <c r="E5" s="2"/>
      <c r="F5" s="345"/>
      <c r="G5" s="345"/>
      <c r="H5" s="346" t="s">
        <v>605</v>
      </c>
      <c r="I5" s="2"/>
      <c r="J5" s="346"/>
      <c r="K5" s="346"/>
      <c r="L5" s="346"/>
      <c r="M5" s="344"/>
      <c r="N5" s="2"/>
    </row>
    <row r="6" spans="1:14">
      <c r="A6" s="343"/>
      <c r="B6" s="2"/>
      <c r="C6" s="2"/>
      <c r="D6" s="2"/>
      <c r="E6" s="2"/>
      <c r="F6" s="345"/>
      <c r="G6" s="345"/>
      <c r="H6" s="346" t="s">
        <v>606</v>
      </c>
      <c r="I6" s="2"/>
      <c r="J6" s="346"/>
      <c r="K6" s="346"/>
      <c r="L6" s="346"/>
      <c r="M6" s="344"/>
      <c r="N6" s="2"/>
    </row>
    <row r="7" spans="1:14">
      <c r="A7" s="2"/>
      <c r="B7" s="2"/>
      <c r="C7" s="2"/>
      <c r="D7" s="2"/>
      <c r="E7" s="2"/>
      <c r="F7" s="345"/>
      <c r="G7" s="345"/>
      <c r="H7" s="346" t="s">
        <v>607</v>
      </c>
      <c r="I7" s="2"/>
      <c r="J7" s="346"/>
      <c r="K7" s="346"/>
      <c r="L7" s="346"/>
      <c r="M7" s="348"/>
      <c r="N7" s="2"/>
    </row>
    <row r="8" spans="1:14">
      <c r="A8" s="344"/>
      <c r="B8" s="344"/>
      <c r="C8" s="2"/>
      <c r="D8" s="2"/>
      <c r="E8" s="2"/>
      <c r="F8" s="2"/>
      <c r="G8" s="2"/>
      <c r="I8" s="2"/>
    </row>
    <row r="11" spans="1:14">
      <c r="A11" s="349"/>
      <c r="B11" s="349"/>
      <c r="C11" s="350" t="s">
        <v>608</v>
      </c>
      <c r="D11" s="351"/>
      <c r="E11" s="350"/>
      <c r="F11" s="349"/>
      <c r="G11" s="349"/>
      <c r="H11" s="3"/>
      <c r="I11" s="3"/>
      <c r="J11" s="352"/>
      <c r="K11" s="352"/>
      <c r="L11" s="352"/>
      <c r="M11" s="349"/>
      <c r="N11" s="349"/>
    </row>
    <row r="12" spans="1:14">
      <c r="A12" s="349"/>
      <c r="B12" s="350" t="s">
        <v>609</v>
      </c>
      <c r="C12" s="349"/>
      <c r="D12" s="349"/>
      <c r="E12" s="349"/>
      <c r="F12" s="349"/>
      <c r="G12" s="349"/>
      <c r="H12" s="349"/>
      <c r="I12" s="349"/>
      <c r="J12" s="349"/>
      <c r="K12" s="349"/>
      <c r="L12" s="349"/>
      <c r="M12" s="349"/>
      <c r="N12" s="349"/>
    </row>
    <row r="13" spans="1:14">
      <c r="A13" s="349"/>
      <c r="B13" s="350"/>
      <c r="C13" s="350" t="s">
        <v>610</v>
      </c>
      <c r="D13" s="353"/>
      <c r="E13" s="353"/>
      <c r="F13" s="353"/>
      <c r="G13" s="353"/>
      <c r="H13" s="353"/>
      <c r="I13" s="349"/>
      <c r="J13" s="349"/>
      <c r="K13" s="349"/>
      <c r="L13" s="349"/>
      <c r="M13" s="349"/>
      <c r="N13" s="353"/>
    </row>
    <row r="14" spans="1:14">
      <c r="A14" s="354" t="s">
        <v>611</v>
      </c>
      <c r="B14" s="354"/>
      <c r="C14" s="354"/>
      <c r="D14" s="354"/>
      <c r="E14" s="354"/>
      <c r="F14" s="354"/>
      <c r="G14" s="354"/>
      <c r="H14" s="354"/>
      <c r="I14" s="354"/>
      <c r="J14" s="354"/>
      <c r="K14" s="354"/>
      <c r="L14" s="354"/>
      <c r="M14" s="354"/>
      <c r="N14" s="354"/>
    </row>
    <row r="15" spans="1:14">
      <c r="A15" s="354" t="s">
        <v>612</v>
      </c>
      <c r="B15" s="354"/>
      <c r="C15" s="354"/>
      <c r="D15" s="354"/>
      <c r="E15" s="354"/>
      <c r="F15" s="354"/>
      <c r="G15" s="354"/>
      <c r="H15" s="354"/>
      <c r="I15" s="354"/>
      <c r="J15" s="354"/>
      <c r="K15" s="354"/>
      <c r="L15" s="354"/>
      <c r="M15" s="354"/>
      <c r="N15" s="354"/>
    </row>
    <row r="16" spans="1:14">
      <c r="A16" s="354" t="s">
        <v>613</v>
      </c>
      <c r="B16" s="354"/>
      <c r="C16" s="354"/>
      <c r="D16" s="354"/>
      <c r="E16" s="354"/>
      <c r="F16" s="354"/>
      <c r="G16" s="354"/>
      <c r="H16" s="354"/>
      <c r="I16" s="354"/>
      <c r="J16" s="354"/>
      <c r="K16" s="354"/>
      <c r="L16" s="354"/>
      <c r="M16" s="354"/>
      <c r="N16" s="354"/>
    </row>
    <row r="17" spans="1:14">
      <c r="A17" s="354" t="s">
        <v>614</v>
      </c>
      <c r="B17" s="354"/>
      <c r="C17" s="354"/>
      <c r="D17" s="354"/>
      <c r="E17" s="354"/>
      <c r="F17" s="354"/>
      <c r="G17" s="354"/>
      <c r="H17" s="354"/>
      <c r="I17" s="354"/>
      <c r="J17" s="354"/>
      <c r="K17" s="354"/>
      <c r="L17" s="354"/>
      <c r="M17" s="354"/>
      <c r="N17" s="354"/>
    </row>
    <row r="18" spans="1:14">
      <c r="A18" s="354" t="s">
        <v>615</v>
      </c>
      <c r="B18" s="354"/>
      <c r="C18" s="354"/>
      <c r="D18" s="354"/>
      <c r="E18" s="354"/>
      <c r="F18" s="354"/>
      <c r="G18" s="354"/>
      <c r="H18" s="354"/>
      <c r="I18" s="354"/>
      <c r="J18" s="354"/>
      <c r="K18" s="354"/>
      <c r="L18" s="354"/>
      <c r="M18" s="354"/>
      <c r="N18" s="354"/>
    </row>
    <row r="19" spans="1:14">
      <c r="A19" s="354" t="s">
        <v>616</v>
      </c>
      <c r="B19" s="354"/>
      <c r="C19" s="354"/>
      <c r="D19" s="354"/>
      <c r="E19" s="354"/>
      <c r="F19" s="354"/>
      <c r="G19" s="354"/>
      <c r="H19" s="354"/>
      <c r="I19" s="354"/>
      <c r="J19" s="354"/>
      <c r="K19" s="354"/>
      <c r="L19" s="354"/>
      <c r="M19" s="354"/>
      <c r="N19" s="354"/>
    </row>
    <row r="20" spans="1:14">
      <c r="A20" s="354" t="s">
        <v>617</v>
      </c>
      <c r="B20" s="354"/>
      <c r="C20" s="354"/>
      <c r="D20" s="355"/>
      <c r="E20" s="356"/>
      <c r="F20" s="355"/>
      <c r="G20" s="355"/>
      <c r="H20" s="354"/>
      <c r="I20" s="354"/>
      <c r="J20" s="354"/>
      <c r="K20" s="354"/>
      <c r="L20" s="354"/>
      <c r="M20" s="354"/>
      <c r="N20" s="354"/>
    </row>
    <row r="21" spans="1:14" ht="15.75" thickBot="1">
      <c r="A21" s="354"/>
      <c r="B21" s="349"/>
      <c r="C21" s="349"/>
      <c r="D21" s="349"/>
      <c r="E21" s="349"/>
      <c r="F21" s="349"/>
      <c r="G21" s="349"/>
      <c r="H21" s="349"/>
      <c r="I21" s="349"/>
      <c r="J21" s="349"/>
      <c r="K21" s="349"/>
      <c r="L21" s="349"/>
      <c r="M21" s="349"/>
      <c r="N21" s="353"/>
    </row>
    <row r="22" spans="1:14">
      <c r="A22" s="357" t="s">
        <v>618</v>
      </c>
      <c r="B22" s="358" t="s">
        <v>619</v>
      </c>
      <c r="C22" s="359" t="s">
        <v>620</v>
      </c>
      <c r="D22" s="360" t="s">
        <v>621</v>
      </c>
      <c r="E22" s="358" t="s">
        <v>622</v>
      </c>
      <c r="F22" s="358" t="s">
        <v>623</v>
      </c>
      <c r="G22" s="361" t="s">
        <v>624</v>
      </c>
      <c r="H22" s="358" t="s">
        <v>625</v>
      </c>
      <c r="I22" s="362" t="s">
        <v>626</v>
      </c>
      <c r="J22" s="363" t="s">
        <v>627</v>
      </c>
      <c r="K22" s="363" t="s">
        <v>628</v>
      </c>
      <c r="L22" s="363" t="s">
        <v>629</v>
      </c>
      <c r="M22" s="364">
        <v>0.1</v>
      </c>
      <c r="N22" s="359" t="s">
        <v>630</v>
      </c>
    </row>
    <row r="23" spans="1:14" ht="21.75" customHeight="1" thickBot="1">
      <c r="A23" s="365"/>
      <c r="B23" s="366" t="s">
        <v>201</v>
      </c>
      <c r="C23" s="367"/>
      <c r="D23" s="368"/>
      <c r="E23" s="366" t="s">
        <v>631</v>
      </c>
      <c r="F23" s="366" t="s">
        <v>170</v>
      </c>
      <c r="G23" s="369"/>
      <c r="H23" s="366" t="s">
        <v>632</v>
      </c>
      <c r="I23" s="370" t="s">
        <v>633</v>
      </c>
      <c r="J23" s="371"/>
      <c r="K23" s="371"/>
      <c r="L23" s="371"/>
      <c r="M23" s="371"/>
      <c r="N23" s="367" t="s">
        <v>634</v>
      </c>
    </row>
    <row r="24" spans="1:14">
      <c r="A24" s="372" t="s">
        <v>635</v>
      </c>
      <c r="B24" s="373">
        <v>1</v>
      </c>
      <c r="C24" s="374" t="s">
        <v>636</v>
      </c>
      <c r="D24" s="375" t="s">
        <v>637</v>
      </c>
      <c r="E24" s="376">
        <v>6.22</v>
      </c>
      <c r="F24" s="377">
        <f>E24*17697</f>
        <v>110075.34</v>
      </c>
      <c r="G24" s="377">
        <f>F24*1.5</f>
        <v>165113.01</v>
      </c>
      <c r="H24" s="377">
        <f>G24*B24</f>
        <v>165113.01</v>
      </c>
      <c r="I24" s="377"/>
      <c r="J24" s="377"/>
      <c r="K24" s="377">
        <f>G24/2</f>
        <v>82556.505000000005</v>
      </c>
      <c r="L24" s="377"/>
      <c r="M24" s="377">
        <f t="shared" ref="M24:M36" si="0">H24*10/100</f>
        <v>16511.300999999999</v>
      </c>
      <c r="N24" s="378">
        <f>M24+J24+I24+H24+K24+L24</f>
        <v>264180.81599999999</v>
      </c>
    </row>
    <row r="25" spans="1:14">
      <c r="A25" s="372" t="s">
        <v>638</v>
      </c>
      <c r="B25" s="373">
        <v>1</v>
      </c>
      <c r="C25" s="374" t="s">
        <v>639</v>
      </c>
      <c r="D25" s="375" t="s">
        <v>640</v>
      </c>
      <c r="E25" s="376">
        <v>5.31</v>
      </c>
      <c r="F25" s="377">
        <f>E25*17697</f>
        <v>93971.069999999992</v>
      </c>
      <c r="G25" s="377"/>
      <c r="H25" s="377">
        <f>F25</f>
        <v>93971.069999999992</v>
      </c>
      <c r="I25" s="377"/>
      <c r="J25" s="377"/>
      <c r="K25" s="377"/>
      <c r="L25" s="377"/>
      <c r="M25" s="377">
        <f t="shared" si="0"/>
        <v>9397.107</v>
      </c>
      <c r="N25" s="378">
        <f t="shared" ref="N25:N36" si="1">M25+J25+I25+H25+K25+L25</f>
        <v>103368.177</v>
      </c>
    </row>
    <row r="26" spans="1:14">
      <c r="A26" s="379" t="s">
        <v>641</v>
      </c>
      <c r="B26" s="380">
        <v>1</v>
      </c>
      <c r="C26" s="381" t="s">
        <v>642</v>
      </c>
      <c r="D26" s="382" t="s">
        <v>640</v>
      </c>
      <c r="E26" s="382">
        <v>4.88</v>
      </c>
      <c r="F26" s="383">
        <f t="shared" ref="F26" si="2">E26*17697</f>
        <v>86361.36</v>
      </c>
      <c r="G26" s="383"/>
      <c r="H26" s="383">
        <f>F26</f>
        <v>86361.36</v>
      </c>
      <c r="I26" s="383"/>
      <c r="J26" s="382"/>
      <c r="K26" s="382"/>
      <c r="L26" s="382"/>
      <c r="M26" s="383">
        <f t="shared" si="0"/>
        <v>8636.1360000000004</v>
      </c>
      <c r="N26" s="378">
        <f t="shared" si="1"/>
        <v>94997.495999999999</v>
      </c>
    </row>
    <row r="27" spans="1:14" ht="28.5" customHeight="1">
      <c r="A27" s="384" t="s">
        <v>643</v>
      </c>
      <c r="B27" s="373">
        <v>1</v>
      </c>
      <c r="C27" s="385">
        <v>38.5</v>
      </c>
      <c r="D27" s="375" t="s">
        <v>644</v>
      </c>
      <c r="E27" s="375">
        <v>5.91</v>
      </c>
      <c r="F27" s="377">
        <f>E27*17697</f>
        <v>104589.27</v>
      </c>
      <c r="G27" s="383">
        <f>F27*1.5</f>
        <v>156883.905</v>
      </c>
      <c r="H27" s="383">
        <f>G27*B27</f>
        <v>156883.905</v>
      </c>
      <c r="I27" s="386"/>
      <c r="J27" s="377"/>
      <c r="K27" s="377">
        <f>G27/2</f>
        <v>78441.952499999999</v>
      </c>
      <c r="L27" s="377"/>
      <c r="M27" s="377">
        <f t="shared" si="0"/>
        <v>15688.390500000001</v>
      </c>
      <c r="N27" s="378">
        <f t="shared" si="1"/>
        <v>251014.24800000002</v>
      </c>
    </row>
    <row r="28" spans="1:14" ht="30" customHeight="1">
      <c r="A28" s="387" t="s">
        <v>645</v>
      </c>
      <c r="B28" s="380">
        <v>1</v>
      </c>
      <c r="C28" s="381" t="s">
        <v>646</v>
      </c>
      <c r="D28" s="382" t="s">
        <v>644</v>
      </c>
      <c r="E28" s="382">
        <v>5.91</v>
      </c>
      <c r="F28" s="383">
        <f t="shared" ref="F28:F36" si="3">E28*17697</f>
        <v>104589.27</v>
      </c>
      <c r="G28" s="383">
        <f t="shared" ref="G28:G35" si="4">F28*1.5</f>
        <v>156883.905</v>
      </c>
      <c r="H28" s="383">
        <f t="shared" ref="H28:H32" si="5">G28*B28</f>
        <v>156883.905</v>
      </c>
      <c r="I28" s="383"/>
      <c r="J28" s="383"/>
      <c r="K28" s="377">
        <f>G28/2</f>
        <v>78441.952499999999</v>
      </c>
      <c r="L28" s="383"/>
      <c r="M28" s="383">
        <f t="shared" si="0"/>
        <v>15688.390500000001</v>
      </c>
      <c r="N28" s="378">
        <f t="shared" si="1"/>
        <v>251014.24800000002</v>
      </c>
    </row>
    <row r="29" spans="1:14" ht="29.25" customHeight="1">
      <c r="A29" s="388" t="s">
        <v>647</v>
      </c>
      <c r="B29" s="380">
        <v>0.5</v>
      </c>
      <c r="C29" s="381" t="s">
        <v>648</v>
      </c>
      <c r="D29" s="382" t="s">
        <v>644</v>
      </c>
      <c r="E29" s="389">
        <v>5.15</v>
      </c>
      <c r="F29" s="383">
        <f t="shared" si="3"/>
        <v>91139.55</v>
      </c>
      <c r="G29" s="383">
        <f t="shared" si="4"/>
        <v>136709.32500000001</v>
      </c>
      <c r="H29" s="383">
        <f t="shared" si="5"/>
        <v>68354.662500000006</v>
      </c>
      <c r="I29" s="383"/>
      <c r="J29" s="383"/>
      <c r="K29" s="383"/>
      <c r="L29" s="383"/>
      <c r="M29" s="383">
        <f t="shared" si="0"/>
        <v>6835.4662500000004</v>
      </c>
      <c r="N29" s="378">
        <f t="shared" si="1"/>
        <v>75190.128750000003</v>
      </c>
    </row>
    <row r="30" spans="1:14" ht="32.25" customHeight="1">
      <c r="A30" s="388" t="s">
        <v>647</v>
      </c>
      <c r="B30" s="380">
        <v>0.5</v>
      </c>
      <c r="C30" s="381" t="s">
        <v>649</v>
      </c>
      <c r="D30" s="382" t="s">
        <v>644</v>
      </c>
      <c r="E30" s="382">
        <v>4.8600000000000003</v>
      </c>
      <c r="F30" s="383">
        <f t="shared" si="3"/>
        <v>86007.420000000013</v>
      </c>
      <c r="G30" s="383">
        <f t="shared" si="4"/>
        <v>129011.13000000002</v>
      </c>
      <c r="H30" s="383">
        <f t="shared" si="5"/>
        <v>64505.56500000001</v>
      </c>
      <c r="I30" s="383"/>
      <c r="J30" s="383"/>
      <c r="K30" s="383"/>
      <c r="L30" s="383"/>
      <c r="M30" s="383">
        <f t="shared" si="0"/>
        <v>6450.5565000000015</v>
      </c>
      <c r="N30" s="378">
        <f t="shared" si="1"/>
        <v>70956.121500000008</v>
      </c>
    </row>
    <row r="31" spans="1:14" ht="27.75" customHeight="1">
      <c r="A31" s="388" t="s">
        <v>643</v>
      </c>
      <c r="B31" s="380">
        <v>1</v>
      </c>
      <c r="C31" s="381" t="s">
        <v>650</v>
      </c>
      <c r="D31" s="382" t="s">
        <v>644</v>
      </c>
      <c r="E31" s="382">
        <v>5.91</v>
      </c>
      <c r="F31" s="383">
        <f t="shared" si="3"/>
        <v>104589.27</v>
      </c>
      <c r="G31" s="383">
        <f t="shared" si="4"/>
        <v>156883.905</v>
      </c>
      <c r="H31" s="383">
        <f t="shared" si="5"/>
        <v>156883.905</v>
      </c>
      <c r="I31" s="383"/>
      <c r="J31" s="383"/>
      <c r="K31" s="377">
        <f>G31/2</f>
        <v>78441.952499999999</v>
      </c>
      <c r="L31" s="383"/>
      <c r="M31" s="383">
        <f t="shared" si="0"/>
        <v>15688.390500000001</v>
      </c>
      <c r="N31" s="378">
        <f t="shared" si="1"/>
        <v>251014.24800000002</v>
      </c>
    </row>
    <row r="32" spans="1:14" ht="22.5" customHeight="1">
      <c r="A32" s="388" t="s">
        <v>643</v>
      </c>
      <c r="B32" s="380">
        <v>0.5</v>
      </c>
      <c r="C32" s="381" t="s">
        <v>651</v>
      </c>
      <c r="D32" s="382" t="s">
        <v>644</v>
      </c>
      <c r="E32" s="382">
        <v>5.29</v>
      </c>
      <c r="F32" s="383">
        <f t="shared" si="3"/>
        <v>93617.13</v>
      </c>
      <c r="G32" s="383">
        <f t="shared" si="4"/>
        <v>140425.69500000001</v>
      </c>
      <c r="H32" s="383">
        <f t="shared" si="5"/>
        <v>70212.847500000003</v>
      </c>
      <c r="I32" s="383"/>
      <c r="J32" s="383"/>
      <c r="K32" s="383"/>
      <c r="L32" s="383"/>
      <c r="M32" s="383">
        <f t="shared" si="0"/>
        <v>7021.2847500000007</v>
      </c>
      <c r="N32" s="378">
        <f t="shared" si="1"/>
        <v>77234.13225000001</v>
      </c>
    </row>
    <row r="33" spans="1:14" ht="30.75" customHeight="1">
      <c r="A33" s="388" t="s">
        <v>643</v>
      </c>
      <c r="B33" s="380">
        <v>0.5</v>
      </c>
      <c r="C33" s="381" t="s">
        <v>652</v>
      </c>
      <c r="D33" s="382" t="s">
        <v>644</v>
      </c>
      <c r="E33" s="382">
        <v>5.59</v>
      </c>
      <c r="F33" s="383">
        <f t="shared" si="3"/>
        <v>98926.23</v>
      </c>
      <c r="G33" s="383">
        <f t="shared" si="4"/>
        <v>148389.345</v>
      </c>
      <c r="H33" s="383">
        <f>G33*B33</f>
        <v>74194.672500000001</v>
      </c>
      <c r="I33" s="383"/>
      <c r="J33" s="383"/>
      <c r="K33" s="383"/>
      <c r="L33" s="383"/>
      <c r="M33" s="383">
        <f t="shared" si="0"/>
        <v>7419.4672499999997</v>
      </c>
      <c r="N33" s="378">
        <f t="shared" si="1"/>
        <v>81614.139750000002</v>
      </c>
    </row>
    <row r="34" spans="1:14" ht="30" customHeight="1">
      <c r="A34" s="388" t="s">
        <v>643</v>
      </c>
      <c r="B34" s="380">
        <v>0.5</v>
      </c>
      <c r="C34" s="381" t="s">
        <v>653</v>
      </c>
      <c r="D34" s="382" t="s">
        <v>644</v>
      </c>
      <c r="E34" s="382">
        <v>5.74</v>
      </c>
      <c r="F34" s="383">
        <f t="shared" si="3"/>
        <v>101580.78</v>
      </c>
      <c r="G34" s="383">
        <f t="shared" si="4"/>
        <v>152371.16999999998</v>
      </c>
      <c r="H34" s="383">
        <f t="shared" ref="H34:H36" si="6">G34*B34</f>
        <v>76185.584999999992</v>
      </c>
      <c r="I34" s="383"/>
      <c r="J34" s="383"/>
      <c r="K34" s="377">
        <f>G34/2/2</f>
        <v>38092.792499999996</v>
      </c>
      <c r="L34" s="383"/>
      <c r="M34" s="383">
        <f t="shared" si="0"/>
        <v>7618.5584999999983</v>
      </c>
      <c r="N34" s="378">
        <f t="shared" si="1"/>
        <v>121896.93599999999</v>
      </c>
    </row>
    <row r="35" spans="1:14" ht="34.5" customHeight="1">
      <c r="A35" s="390" t="s">
        <v>647</v>
      </c>
      <c r="B35" s="391">
        <v>1</v>
      </c>
      <c r="C35" s="392" t="s">
        <v>649</v>
      </c>
      <c r="D35" s="393" t="s">
        <v>644</v>
      </c>
      <c r="E35" s="393">
        <v>4.8600000000000003</v>
      </c>
      <c r="F35" s="383">
        <f t="shared" si="3"/>
        <v>86007.420000000013</v>
      </c>
      <c r="G35" s="383">
        <f t="shared" si="4"/>
        <v>129011.13000000002</v>
      </c>
      <c r="H35" s="383">
        <f t="shared" si="6"/>
        <v>129011.13000000002</v>
      </c>
      <c r="I35" s="394"/>
      <c r="J35" s="394"/>
      <c r="K35" s="394"/>
      <c r="L35" s="394"/>
      <c r="M35" s="394">
        <f t="shared" si="0"/>
        <v>12901.113000000003</v>
      </c>
      <c r="N35" s="378">
        <f t="shared" si="1"/>
        <v>141912.24300000002</v>
      </c>
    </row>
    <row r="36" spans="1:14" ht="15.75" thickBot="1">
      <c r="A36" s="395" t="s">
        <v>654</v>
      </c>
      <c r="B36" s="393">
        <v>1</v>
      </c>
      <c r="C36" s="396" t="s">
        <v>655</v>
      </c>
      <c r="D36" s="393" t="s">
        <v>644</v>
      </c>
      <c r="E36" s="393">
        <v>5.15</v>
      </c>
      <c r="F36" s="383">
        <f t="shared" si="3"/>
        <v>91139.55</v>
      </c>
      <c r="G36" s="383">
        <f>F36*1.5</f>
        <v>136709.32500000001</v>
      </c>
      <c r="H36" s="394">
        <f t="shared" si="6"/>
        <v>136709.32500000001</v>
      </c>
      <c r="I36" s="394"/>
      <c r="J36" s="394"/>
      <c r="K36" s="394"/>
      <c r="L36" s="394"/>
      <c r="M36" s="394">
        <f t="shared" si="0"/>
        <v>13670.932500000001</v>
      </c>
      <c r="N36" s="378">
        <f t="shared" si="1"/>
        <v>150380.25750000001</v>
      </c>
    </row>
    <row r="37" spans="1:14" ht="15.75" thickBot="1">
      <c r="A37" s="397" t="s">
        <v>656</v>
      </c>
      <c r="B37" s="398">
        <f>SUM(B24:B36)</f>
        <v>10.5</v>
      </c>
      <c r="C37" s="399"/>
      <c r="D37" s="399"/>
      <c r="E37" s="399"/>
      <c r="F37" s="399"/>
      <c r="G37" s="399"/>
      <c r="H37" s="399">
        <f>SUM(H24:H36)</f>
        <v>1435270.9425000001</v>
      </c>
      <c r="I37" s="399"/>
      <c r="J37" s="399"/>
      <c r="K37" s="399">
        <f>SUM(K24:K36)</f>
        <v>355975.15500000003</v>
      </c>
      <c r="L37" s="399"/>
      <c r="M37" s="399">
        <f>SUM(M24:M36)</f>
        <v>143527.09425000002</v>
      </c>
      <c r="N37" s="399">
        <f>SUM(N24:N36)</f>
        <v>1934773.1917500002</v>
      </c>
    </row>
    <row r="38" spans="1:14">
      <c r="A38" s="379" t="s">
        <v>657</v>
      </c>
      <c r="B38" s="380">
        <v>1</v>
      </c>
      <c r="C38" s="400">
        <v>27.4</v>
      </c>
      <c r="D38" s="382" t="s">
        <v>658</v>
      </c>
      <c r="E38" s="382">
        <v>5.41</v>
      </c>
      <c r="F38" s="383">
        <f t="shared" ref="F38:F53" si="7">E38*17697</f>
        <v>95740.77</v>
      </c>
      <c r="G38" s="383">
        <f>F38*1.5</f>
        <v>143611.155</v>
      </c>
      <c r="H38" s="383">
        <f>G38*B38</f>
        <v>143611.155</v>
      </c>
      <c r="I38" s="383"/>
      <c r="J38" s="383"/>
      <c r="K38" s="383"/>
      <c r="L38" s="383"/>
      <c r="M38" s="383">
        <f t="shared" ref="M38:M53" si="8">H38*10/100</f>
        <v>14361.1155</v>
      </c>
      <c r="N38" s="401">
        <f>M38+J38+I38+H38+K38+L38</f>
        <v>157972.27049999998</v>
      </c>
    </row>
    <row r="39" spans="1:14">
      <c r="A39" s="379" t="s">
        <v>659</v>
      </c>
      <c r="B39" s="380">
        <v>1</v>
      </c>
      <c r="C39" s="402" t="s">
        <v>660</v>
      </c>
      <c r="D39" s="403" t="s">
        <v>661</v>
      </c>
      <c r="E39" s="382">
        <v>4.99</v>
      </c>
      <c r="F39" s="383">
        <f t="shared" si="7"/>
        <v>88308.03</v>
      </c>
      <c r="G39" s="383">
        <f t="shared" ref="G39:G53" si="9">F39*1.5</f>
        <v>132462.04499999998</v>
      </c>
      <c r="H39" s="383">
        <f>G39*B39</f>
        <v>132462.04499999998</v>
      </c>
      <c r="I39" s="383"/>
      <c r="J39" s="383"/>
      <c r="K39" s="383"/>
      <c r="L39" s="383">
        <f>H39/18*30%*18</f>
        <v>39738.613499999992</v>
      </c>
      <c r="M39" s="383">
        <f t="shared" si="8"/>
        <v>13246.204499999998</v>
      </c>
      <c r="N39" s="401">
        <f t="shared" ref="N39:N84" si="10">M39+J39+I39+H39+K39+L39</f>
        <v>185446.86299999995</v>
      </c>
    </row>
    <row r="40" spans="1:14">
      <c r="A40" s="379" t="s">
        <v>659</v>
      </c>
      <c r="B40" s="380">
        <v>1</v>
      </c>
      <c r="C40" s="381" t="s">
        <v>662</v>
      </c>
      <c r="D40" s="382" t="s">
        <v>663</v>
      </c>
      <c r="E40" s="382">
        <v>4.1399999999999997</v>
      </c>
      <c r="F40" s="383">
        <f t="shared" si="7"/>
        <v>73265.579999999987</v>
      </c>
      <c r="G40" s="383">
        <f t="shared" si="9"/>
        <v>109898.36999999998</v>
      </c>
      <c r="H40" s="383">
        <f t="shared" ref="H40:H52" si="11">G40*B40</f>
        <v>109898.36999999998</v>
      </c>
      <c r="I40" s="383"/>
      <c r="J40" s="404"/>
      <c r="K40" s="404"/>
      <c r="L40" s="404"/>
      <c r="M40" s="383">
        <f t="shared" si="8"/>
        <v>10989.836999999998</v>
      </c>
      <c r="N40" s="401">
        <f t="shared" si="10"/>
        <v>120888.20699999998</v>
      </c>
    </row>
    <row r="41" spans="1:14">
      <c r="A41" s="379" t="s">
        <v>664</v>
      </c>
      <c r="B41" s="380">
        <v>1</v>
      </c>
      <c r="C41" s="381" t="s">
        <v>665</v>
      </c>
      <c r="D41" s="382" t="s">
        <v>666</v>
      </c>
      <c r="E41" s="382">
        <v>4.0599999999999996</v>
      </c>
      <c r="F41" s="383">
        <f t="shared" si="7"/>
        <v>71849.819999999992</v>
      </c>
      <c r="G41" s="383">
        <f t="shared" si="9"/>
        <v>107774.72999999998</v>
      </c>
      <c r="H41" s="383">
        <f t="shared" si="11"/>
        <v>107774.72999999998</v>
      </c>
      <c r="I41" s="383"/>
      <c r="J41" s="383"/>
      <c r="K41" s="383"/>
      <c r="L41" s="383"/>
      <c r="M41" s="383">
        <f t="shared" si="8"/>
        <v>10777.472999999998</v>
      </c>
      <c r="N41" s="401">
        <f t="shared" si="10"/>
        <v>118552.20299999998</v>
      </c>
    </row>
    <row r="42" spans="1:14">
      <c r="A42" s="379" t="s">
        <v>667</v>
      </c>
      <c r="B42" s="380">
        <v>1</v>
      </c>
      <c r="C42" s="381" t="s">
        <v>668</v>
      </c>
      <c r="D42" s="382" t="s">
        <v>661</v>
      </c>
      <c r="E42" s="405">
        <v>4.3600000000000003</v>
      </c>
      <c r="F42" s="383">
        <f t="shared" si="7"/>
        <v>77158.920000000013</v>
      </c>
      <c r="G42" s="383">
        <f t="shared" si="9"/>
        <v>115738.38000000002</v>
      </c>
      <c r="H42" s="383">
        <f t="shared" si="11"/>
        <v>115738.38000000002</v>
      </c>
      <c r="I42" s="383"/>
      <c r="J42" s="383">
        <v>7079</v>
      </c>
      <c r="K42" s="383"/>
      <c r="L42" s="383">
        <f>H42/18*30%*18</f>
        <v>34721.514000000003</v>
      </c>
      <c r="M42" s="383">
        <f t="shared" si="8"/>
        <v>11573.838000000003</v>
      </c>
      <c r="N42" s="401">
        <f t="shared" si="10"/>
        <v>169112.73200000002</v>
      </c>
    </row>
    <row r="43" spans="1:14">
      <c r="A43" s="379" t="s">
        <v>667</v>
      </c>
      <c r="B43" s="380">
        <v>1</v>
      </c>
      <c r="C43" s="381" t="s">
        <v>669</v>
      </c>
      <c r="D43" s="382" t="s">
        <v>663</v>
      </c>
      <c r="E43" s="382">
        <v>4.1900000000000004</v>
      </c>
      <c r="F43" s="383">
        <f t="shared" si="7"/>
        <v>74150.430000000008</v>
      </c>
      <c r="G43" s="383">
        <f t="shared" si="9"/>
        <v>111225.64500000002</v>
      </c>
      <c r="H43" s="383">
        <f t="shared" si="11"/>
        <v>111225.64500000002</v>
      </c>
      <c r="I43" s="383"/>
      <c r="J43" s="383">
        <v>7079</v>
      </c>
      <c r="K43" s="383"/>
      <c r="L43" s="383"/>
      <c r="M43" s="383">
        <f t="shared" si="8"/>
        <v>11122.564500000002</v>
      </c>
      <c r="N43" s="401">
        <f t="shared" si="10"/>
        <v>129427.20950000003</v>
      </c>
    </row>
    <row r="44" spans="1:14">
      <c r="A44" s="406" t="s">
        <v>670</v>
      </c>
      <c r="B44" s="380">
        <v>1</v>
      </c>
      <c r="C44" s="381" t="s">
        <v>669</v>
      </c>
      <c r="D44" s="382" t="s">
        <v>671</v>
      </c>
      <c r="E44" s="382">
        <v>3.41</v>
      </c>
      <c r="F44" s="383">
        <f t="shared" si="7"/>
        <v>60346.770000000004</v>
      </c>
      <c r="G44" s="383">
        <f t="shared" si="9"/>
        <v>90520.154999999999</v>
      </c>
      <c r="H44" s="383">
        <f t="shared" si="11"/>
        <v>90520.154999999999</v>
      </c>
      <c r="I44" s="383"/>
      <c r="J44" s="383"/>
      <c r="K44" s="383"/>
      <c r="L44" s="383"/>
      <c r="M44" s="383">
        <f t="shared" si="8"/>
        <v>9052.0155000000013</v>
      </c>
      <c r="N44" s="401">
        <f t="shared" si="10"/>
        <v>99572.170500000007</v>
      </c>
    </row>
    <row r="45" spans="1:14">
      <c r="A45" s="406" t="s">
        <v>670</v>
      </c>
      <c r="B45" s="380">
        <v>1</v>
      </c>
      <c r="C45" s="381" t="s">
        <v>672</v>
      </c>
      <c r="D45" s="382" t="s">
        <v>666</v>
      </c>
      <c r="E45" s="405">
        <v>3.85</v>
      </c>
      <c r="F45" s="383">
        <f t="shared" si="7"/>
        <v>68133.45</v>
      </c>
      <c r="G45" s="383">
        <f t="shared" si="9"/>
        <v>102200.17499999999</v>
      </c>
      <c r="H45" s="383">
        <f t="shared" si="11"/>
        <v>102200.17499999999</v>
      </c>
      <c r="I45" s="383"/>
      <c r="J45" s="383"/>
      <c r="K45" s="383"/>
      <c r="L45" s="383"/>
      <c r="M45" s="383">
        <f t="shared" si="8"/>
        <v>10220.017499999998</v>
      </c>
      <c r="N45" s="401">
        <f t="shared" si="10"/>
        <v>112420.19249999999</v>
      </c>
    </row>
    <row r="46" spans="1:14">
      <c r="A46" s="406" t="s">
        <v>670</v>
      </c>
      <c r="B46" s="380">
        <v>1</v>
      </c>
      <c r="C46" s="381" t="s">
        <v>673</v>
      </c>
      <c r="D46" s="382" t="s">
        <v>666</v>
      </c>
      <c r="E46" s="382">
        <v>3.71</v>
      </c>
      <c r="F46" s="383">
        <f t="shared" si="7"/>
        <v>65655.87</v>
      </c>
      <c r="G46" s="383">
        <f t="shared" si="9"/>
        <v>98483.804999999993</v>
      </c>
      <c r="H46" s="383">
        <f t="shared" si="11"/>
        <v>98483.804999999993</v>
      </c>
      <c r="I46" s="383"/>
      <c r="J46" s="383"/>
      <c r="K46" s="383"/>
      <c r="L46" s="383"/>
      <c r="M46" s="383">
        <f t="shared" si="8"/>
        <v>9848.3804999999993</v>
      </c>
      <c r="N46" s="401">
        <f t="shared" si="10"/>
        <v>108332.18549999999</v>
      </c>
    </row>
    <row r="47" spans="1:14">
      <c r="A47" s="406" t="s">
        <v>670</v>
      </c>
      <c r="B47" s="380">
        <v>1</v>
      </c>
      <c r="C47" s="381" t="s">
        <v>674</v>
      </c>
      <c r="D47" s="382" t="s">
        <v>671</v>
      </c>
      <c r="E47" s="382">
        <v>3.53</v>
      </c>
      <c r="F47" s="383">
        <f t="shared" si="7"/>
        <v>62470.409999999996</v>
      </c>
      <c r="G47" s="383">
        <f t="shared" si="9"/>
        <v>93705.614999999991</v>
      </c>
      <c r="H47" s="383">
        <f t="shared" si="11"/>
        <v>93705.614999999991</v>
      </c>
      <c r="I47" s="383"/>
      <c r="J47" s="383"/>
      <c r="K47" s="383"/>
      <c r="L47" s="383"/>
      <c r="M47" s="383">
        <f t="shared" si="8"/>
        <v>9370.5614999999998</v>
      </c>
      <c r="N47" s="401">
        <f t="shared" si="10"/>
        <v>103076.17649999999</v>
      </c>
    </row>
    <row r="48" spans="1:14">
      <c r="A48" s="406" t="s">
        <v>670</v>
      </c>
      <c r="B48" s="380">
        <v>1</v>
      </c>
      <c r="C48" s="381" t="s">
        <v>675</v>
      </c>
      <c r="D48" s="382" t="s">
        <v>671</v>
      </c>
      <c r="E48" s="382">
        <v>3.53</v>
      </c>
      <c r="F48" s="383">
        <f t="shared" si="7"/>
        <v>62470.409999999996</v>
      </c>
      <c r="G48" s="383">
        <f t="shared" si="9"/>
        <v>93705.614999999991</v>
      </c>
      <c r="H48" s="383">
        <f t="shared" si="11"/>
        <v>93705.614999999991</v>
      </c>
      <c r="I48" s="383"/>
      <c r="J48" s="383"/>
      <c r="K48" s="383"/>
      <c r="L48" s="383"/>
      <c r="M48" s="383">
        <f t="shared" si="8"/>
        <v>9370.5614999999998</v>
      </c>
      <c r="N48" s="401">
        <f t="shared" si="10"/>
        <v>103076.17649999999</v>
      </c>
    </row>
    <row r="49" spans="1:14">
      <c r="A49" s="406" t="s">
        <v>670</v>
      </c>
      <c r="B49" s="380">
        <v>1</v>
      </c>
      <c r="C49" s="381" t="s">
        <v>676</v>
      </c>
      <c r="D49" s="382" t="s">
        <v>671</v>
      </c>
      <c r="E49" s="382">
        <v>3.49</v>
      </c>
      <c r="F49" s="383">
        <f t="shared" si="7"/>
        <v>61762.530000000006</v>
      </c>
      <c r="G49" s="383">
        <f t="shared" si="9"/>
        <v>92643.795000000013</v>
      </c>
      <c r="H49" s="383">
        <f t="shared" si="11"/>
        <v>92643.795000000013</v>
      </c>
      <c r="I49" s="383"/>
      <c r="J49" s="383"/>
      <c r="K49" s="383"/>
      <c r="L49" s="383"/>
      <c r="M49" s="383">
        <f t="shared" si="8"/>
        <v>9264.3795000000027</v>
      </c>
      <c r="N49" s="401">
        <f t="shared" si="10"/>
        <v>101908.17450000002</v>
      </c>
    </row>
    <row r="50" spans="1:14">
      <c r="A50" s="406" t="s">
        <v>670</v>
      </c>
      <c r="B50" s="380">
        <v>1</v>
      </c>
      <c r="C50" s="381" t="s">
        <v>677</v>
      </c>
      <c r="D50" s="382" t="s">
        <v>666</v>
      </c>
      <c r="E50" s="382">
        <v>3.58</v>
      </c>
      <c r="F50" s="383">
        <f t="shared" si="7"/>
        <v>63355.26</v>
      </c>
      <c r="G50" s="383">
        <f t="shared" si="9"/>
        <v>95032.89</v>
      </c>
      <c r="H50" s="383">
        <f t="shared" si="11"/>
        <v>95032.89</v>
      </c>
      <c r="I50" s="383"/>
      <c r="J50" s="383"/>
      <c r="K50" s="383"/>
      <c r="L50" s="383"/>
      <c r="M50" s="383">
        <f t="shared" si="8"/>
        <v>9503.2890000000007</v>
      </c>
      <c r="N50" s="401">
        <f t="shared" si="10"/>
        <v>104536.179</v>
      </c>
    </row>
    <row r="51" spans="1:14">
      <c r="A51" s="406" t="s">
        <v>670</v>
      </c>
      <c r="B51" s="380">
        <v>1</v>
      </c>
      <c r="C51" s="381" t="s">
        <v>649</v>
      </c>
      <c r="D51" s="382" t="s">
        <v>671</v>
      </c>
      <c r="E51" s="382">
        <v>3.32</v>
      </c>
      <c r="F51" s="383">
        <f t="shared" si="7"/>
        <v>58754.039999999994</v>
      </c>
      <c r="G51" s="383">
        <f t="shared" si="9"/>
        <v>88131.06</v>
      </c>
      <c r="H51" s="383">
        <f t="shared" si="11"/>
        <v>88131.06</v>
      </c>
      <c r="I51" s="383"/>
      <c r="J51" s="383"/>
      <c r="K51" s="383"/>
      <c r="L51" s="383"/>
      <c r="M51" s="383">
        <f t="shared" si="8"/>
        <v>8813.1059999999998</v>
      </c>
      <c r="N51" s="401">
        <f t="shared" si="10"/>
        <v>96944.165999999997</v>
      </c>
    </row>
    <row r="52" spans="1:14">
      <c r="A52" s="406" t="s">
        <v>678</v>
      </c>
      <c r="B52" s="380">
        <v>1</v>
      </c>
      <c r="C52" s="381" t="s">
        <v>649</v>
      </c>
      <c r="D52" s="382" t="s">
        <v>679</v>
      </c>
      <c r="E52" s="382">
        <v>3.82</v>
      </c>
      <c r="F52" s="383">
        <f t="shared" si="7"/>
        <v>67602.539999999994</v>
      </c>
      <c r="G52" s="383">
        <f t="shared" si="9"/>
        <v>101403.81</v>
      </c>
      <c r="H52" s="383">
        <f t="shared" si="11"/>
        <v>101403.81</v>
      </c>
      <c r="I52" s="383"/>
      <c r="J52" s="383"/>
      <c r="K52" s="383"/>
      <c r="L52" s="383"/>
      <c r="M52" s="383">
        <f t="shared" si="8"/>
        <v>10140.380999999999</v>
      </c>
      <c r="N52" s="401">
        <f t="shared" si="10"/>
        <v>111544.19099999999</v>
      </c>
    </row>
    <row r="53" spans="1:14" ht="15.75" thickBot="1">
      <c r="A53" s="406" t="s">
        <v>680</v>
      </c>
      <c r="B53" s="380">
        <v>1</v>
      </c>
      <c r="C53" s="381" t="s">
        <v>662</v>
      </c>
      <c r="D53" s="382" t="s">
        <v>666</v>
      </c>
      <c r="E53" s="405">
        <v>3.58</v>
      </c>
      <c r="F53" s="383">
        <f t="shared" si="7"/>
        <v>63355.26</v>
      </c>
      <c r="G53" s="383">
        <f t="shared" si="9"/>
        <v>95032.89</v>
      </c>
      <c r="H53" s="383">
        <f>G53*B53</f>
        <v>95032.89</v>
      </c>
      <c r="I53" s="383"/>
      <c r="J53" s="383"/>
      <c r="K53" s="383"/>
      <c r="L53" s="383"/>
      <c r="M53" s="383">
        <f t="shared" si="8"/>
        <v>9503.2890000000007</v>
      </c>
      <c r="N53" s="401">
        <f t="shared" si="10"/>
        <v>104536.179</v>
      </c>
    </row>
    <row r="54" spans="1:14" ht="15.75" thickBot="1">
      <c r="A54" s="407" t="s">
        <v>681</v>
      </c>
      <c r="B54" s="399">
        <f>SUM(B38:B53)</f>
        <v>16</v>
      </c>
      <c r="C54" s="408"/>
      <c r="D54" s="409"/>
      <c r="E54" s="409"/>
      <c r="F54" s="409"/>
      <c r="G54" s="409"/>
      <c r="H54" s="410">
        <f>SUM(H38:H53)</f>
        <v>1671570.1349999998</v>
      </c>
      <c r="I54" s="410"/>
      <c r="J54" s="410">
        <f>SUM(J38:J53)</f>
        <v>14158</v>
      </c>
      <c r="K54" s="410"/>
      <c r="L54" s="410">
        <f>SUM(L38:L53)</f>
        <v>74460.127500000002</v>
      </c>
      <c r="M54" s="410">
        <f>SUM(M38:M53)</f>
        <v>167157.01349999997</v>
      </c>
      <c r="N54" s="410">
        <f>SUM(N38:N53)</f>
        <v>1927345.2760000001</v>
      </c>
    </row>
    <row r="55" spans="1:14">
      <c r="A55" s="411" t="s">
        <v>682</v>
      </c>
      <c r="B55" s="412">
        <v>1</v>
      </c>
      <c r="C55" s="413" t="s">
        <v>683</v>
      </c>
      <c r="D55" s="414" t="s">
        <v>684</v>
      </c>
      <c r="E55" s="415">
        <v>4.4400000000000004</v>
      </c>
      <c r="F55" s="416">
        <f t="shared" ref="F55:F62" si="12">E55*17697</f>
        <v>78574.680000000008</v>
      </c>
      <c r="G55" s="416">
        <f>F55</f>
        <v>78574.680000000008</v>
      </c>
      <c r="H55" s="416">
        <f>G55*B55</f>
        <v>78574.680000000008</v>
      </c>
      <c r="I55" s="416"/>
      <c r="J55" s="416">
        <v>5309</v>
      </c>
      <c r="K55" s="416"/>
      <c r="L55" s="416"/>
      <c r="M55" s="416">
        <f t="shared" ref="M55:M72" si="13">H55*10/100</f>
        <v>7857.4680000000008</v>
      </c>
      <c r="N55" s="401">
        <f t="shared" si="10"/>
        <v>91741.148000000016</v>
      </c>
    </row>
    <row r="56" spans="1:14">
      <c r="A56" s="406" t="s">
        <v>685</v>
      </c>
      <c r="B56" s="380">
        <v>1</v>
      </c>
      <c r="C56" s="381" t="s">
        <v>686</v>
      </c>
      <c r="D56" s="382" t="s">
        <v>687</v>
      </c>
      <c r="E56" s="405">
        <v>3.46</v>
      </c>
      <c r="F56" s="383">
        <f t="shared" si="12"/>
        <v>61231.62</v>
      </c>
      <c r="G56" s="383">
        <f>F56</f>
        <v>61231.62</v>
      </c>
      <c r="H56" s="383">
        <f>G56*B56</f>
        <v>61231.62</v>
      </c>
      <c r="I56" s="383"/>
      <c r="J56" s="383"/>
      <c r="K56" s="383"/>
      <c r="L56" s="383"/>
      <c r="M56" s="383">
        <f t="shared" si="13"/>
        <v>6123.1620000000003</v>
      </c>
      <c r="N56" s="401">
        <f t="shared" si="10"/>
        <v>67354.782000000007</v>
      </c>
    </row>
    <row r="57" spans="1:14">
      <c r="A57" s="417" t="s">
        <v>688</v>
      </c>
      <c r="B57" s="418">
        <v>1</v>
      </c>
      <c r="C57" s="402" t="s">
        <v>689</v>
      </c>
      <c r="D57" s="403" t="s">
        <v>690</v>
      </c>
      <c r="E57" s="419">
        <v>3.31</v>
      </c>
      <c r="F57" s="420">
        <f t="shared" si="12"/>
        <v>58577.07</v>
      </c>
      <c r="G57" s="383">
        <f t="shared" ref="G57:G72" si="14">F57</f>
        <v>58577.07</v>
      </c>
      <c r="H57" s="383">
        <f t="shared" ref="H57:H72" si="15">G57*B57</f>
        <v>58577.07</v>
      </c>
      <c r="I57" s="383"/>
      <c r="J57" s="383"/>
      <c r="K57" s="383"/>
      <c r="L57" s="383"/>
      <c r="M57" s="383">
        <f t="shared" si="13"/>
        <v>5857.7069999999994</v>
      </c>
      <c r="N57" s="401">
        <f t="shared" si="10"/>
        <v>64434.777000000002</v>
      </c>
    </row>
    <row r="58" spans="1:14">
      <c r="A58" s="406" t="s">
        <v>688</v>
      </c>
      <c r="B58" s="380">
        <v>1</v>
      </c>
      <c r="C58" s="381" t="s">
        <v>691</v>
      </c>
      <c r="D58" s="382" t="s">
        <v>690</v>
      </c>
      <c r="E58" s="405">
        <v>3.57</v>
      </c>
      <c r="F58" s="383">
        <f t="shared" si="12"/>
        <v>63178.289999999994</v>
      </c>
      <c r="G58" s="383">
        <f t="shared" si="14"/>
        <v>63178.289999999994</v>
      </c>
      <c r="H58" s="383">
        <f t="shared" si="15"/>
        <v>63178.289999999994</v>
      </c>
      <c r="I58" s="383"/>
      <c r="J58" s="383"/>
      <c r="K58" s="383"/>
      <c r="L58" s="383"/>
      <c r="M58" s="383">
        <f t="shared" si="13"/>
        <v>6317.8289999999988</v>
      </c>
      <c r="N58" s="401">
        <f t="shared" si="10"/>
        <v>69496.118999999992</v>
      </c>
    </row>
    <row r="59" spans="1:14">
      <c r="A59" s="406" t="s">
        <v>688</v>
      </c>
      <c r="B59" s="380">
        <v>1</v>
      </c>
      <c r="C59" s="381" t="s">
        <v>692</v>
      </c>
      <c r="D59" s="382" t="s">
        <v>690</v>
      </c>
      <c r="E59" s="405">
        <v>3.46</v>
      </c>
      <c r="F59" s="383">
        <f t="shared" si="12"/>
        <v>61231.62</v>
      </c>
      <c r="G59" s="383">
        <f t="shared" si="14"/>
        <v>61231.62</v>
      </c>
      <c r="H59" s="383">
        <f t="shared" si="15"/>
        <v>61231.62</v>
      </c>
      <c r="I59" s="383"/>
      <c r="J59" s="382"/>
      <c r="K59" s="382"/>
      <c r="L59" s="382"/>
      <c r="M59" s="383">
        <f t="shared" si="13"/>
        <v>6123.1620000000003</v>
      </c>
      <c r="N59" s="401">
        <f t="shared" si="10"/>
        <v>67354.782000000007</v>
      </c>
    </row>
    <row r="60" spans="1:14">
      <c r="A60" s="406" t="s">
        <v>688</v>
      </c>
      <c r="B60" s="380">
        <v>1</v>
      </c>
      <c r="C60" s="381" t="s">
        <v>672</v>
      </c>
      <c r="D60" s="382" t="s">
        <v>693</v>
      </c>
      <c r="E60" s="382">
        <v>4.43</v>
      </c>
      <c r="F60" s="383">
        <f t="shared" si="12"/>
        <v>78397.709999999992</v>
      </c>
      <c r="G60" s="383">
        <f t="shared" si="14"/>
        <v>78397.709999999992</v>
      </c>
      <c r="H60" s="383">
        <f t="shared" si="15"/>
        <v>78397.709999999992</v>
      </c>
      <c r="I60" s="383"/>
      <c r="J60" s="382"/>
      <c r="K60" s="382"/>
      <c r="L60" s="382"/>
      <c r="M60" s="383">
        <f t="shared" si="13"/>
        <v>7839.7709999999988</v>
      </c>
      <c r="N60" s="401">
        <f t="shared" si="10"/>
        <v>86237.480999999985</v>
      </c>
    </row>
    <row r="61" spans="1:14">
      <c r="A61" s="406" t="s">
        <v>688</v>
      </c>
      <c r="B61" s="380">
        <v>1</v>
      </c>
      <c r="C61" s="381" t="s">
        <v>694</v>
      </c>
      <c r="D61" s="382" t="s">
        <v>693</v>
      </c>
      <c r="E61" s="405">
        <v>4.43</v>
      </c>
      <c r="F61" s="383">
        <f t="shared" si="12"/>
        <v>78397.709999999992</v>
      </c>
      <c r="G61" s="383">
        <f t="shared" si="14"/>
        <v>78397.709999999992</v>
      </c>
      <c r="H61" s="383">
        <f t="shared" si="15"/>
        <v>78397.709999999992</v>
      </c>
      <c r="I61" s="383"/>
      <c r="J61" s="382"/>
      <c r="K61" s="382"/>
      <c r="L61" s="382"/>
      <c r="M61" s="383">
        <f t="shared" si="13"/>
        <v>7839.7709999999988</v>
      </c>
      <c r="N61" s="401">
        <f t="shared" si="10"/>
        <v>86237.480999999985</v>
      </c>
    </row>
    <row r="62" spans="1:14">
      <c r="A62" s="406" t="s">
        <v>688</v>
      </c>
      <c r="B62" s="380">
        <v>1</v>
      </c>
      <c r="C62" s="381" t="s">
        <v>695</v>
      </c>
      <c r="D62" s="382" t="s">
        <v>690</v>
      </c>
      <c r="E62" s="405">
        <v>3.46</v>
      </c>
      <c r="F62" s="383">
        <f t="shared" si="12"/>
        <v>61231.62</v>
      </c>
      <c r="G62" s="383">
        <f t="shared" si="14"/>
        <v>61231.62</v>
      </c>
      <c r="H62" s="383">
        <f t="shared" si="15"/>
        <v>61231.62</v>
      </c>
      <c r="I62" s="383"/>
      <c r="J62" s="382"/>
      <c r="K62" s="382"/>
      <c r="L62" s="382"/>
      <c r="M62" s="383">
        <f t="shared" si="13"/>
        <v>6123.1620000000003</v>
      </c>
      <c r="N62" s="401">
        <f t="shared" si="10"/>
        <v>67354.782000000007</v>
      </c>
    </row>
    <row r="63" spans="1:14">
      <c r="A63" s="406" t="s">
        <v>688</v>
      </c>
      <c r="B63" s="380">
        <v>1</v>
      </c>
      <c r="C63" s="381" t="s">
        <v>696</v>
      </c>
      <c r="D63" s="382" t="s">
        <v>690</v>
      </c>
      <c r="E63" s="382">
        <v>3.54</v>
      </c>
      <c r="F63" s="383">
        <f>E63*17697</f>
        <v>62647.38</v>
      </c>
      <c r="G63" s="383">
        <f t="shared" si="14"/>
        <v>62647.38</v>
      </c>
      <c r="H63" s="383">
        <f t="shared" si="15"/>
        <v>62647.38</v>
      </c>
      <c r="I63" s="383"/>
      <c r="J63" s="382"/>
      <c r="K63" s="382"/>
      <c r="L63" s="382"/>
      <c r="M63" s="383">
        <f t="shared" si="13"/>
        <v>6264.7379999999994</v>
      </c>
      <c r="N63" s="401">
        <f t="shared" si="10"/>
        <v>68912.118000000002</v>
      </c>
    </row>
    <row r="64" spans="1:14">
      <c r="A64" s="406" t="s">
        <v>688</v>
      </c>
      <c r="B64" s="380">
        <v>1</v>
      </c>
      <c r="C64" s="381" t="s">
        <v>697</v>
      </c>
      <c r="D64" s="382" t="s">
        <v>690</v>
      </c>
      <c r="E64" s="382">
        <v>3.57</v>
      </c>
      <c r="F64" s="383">
        <f>E64*17697</f>
        <v>63178.289999999994</v>
      </c>
      <c r="G64" s="383">
        <f t="shared" si="14"/>
        <v>63178.289999999994</v>
      </c>
      <c r="H64" s="383">
        <f t="shared" si="15"/>
        <v>63178.289999999994</v>
      </c>
      <c r="I64" s="383"/>
      <c r="J64" s="382"/>
      <c r="K64" s="382"/>
      <c r="L64" s="382"/>
      <c r="M64" s="383">
        <f t="shared" si="13"/>
        <v>6317.8289999999988</v>
      </c>
      <c r="N64" s="401">
        <f t="shared" si="10"/>
        <v>69496.118999999992</v>
      </c>
    </row>
    <row r="65" spans="1:14">
      <c r="A65" s="406" t="s">
        <v>688</v>
      </c>
      <c r="B65" s="380">
        <v>1</v>
      </c>
      <c r="C65" s="381" t="s">
        <v>698</v>
      </c>
      <c r="D65" s="382" t="s">
        <v>690</v>
      </c>
      <c r="E65" s="405">
        <v>3.5</v>
      </c>
      <c r="F65" s="383">
        <f>E65*17697</f>
        <v>61939.5</v>
      </c>
      <c r="G65" s="383">
        <f t="shared" si="14"/>
        <v>61939.5</v>
      </c>
      <c r="H65" s="383">
        <f t="shared" si="15"/>
        <v>61939.5</v>
      </c>
      <c r="I65" s="383"/>
      <c r="J65" s="382"/>
      <c r="K65" s="382"/>
      <c r="L65" s="382"/>
      <c r="M65" s="383">
        <f t="shared" si="13"/>
        <v>6193.95</v>
      </c>
      <c r="N65" s="401">
        <f t="shared" si="10"/>
        <v>68133.45</v>
      </c>
    </row>
    <row r="66" spans="1:14">
      <c r="A66" s="406" t="s">
        <v>688</v>
      </c>
      <c r="B66" s="373">
        <v>1</v>
      </c>
      <c r="C66" s="381" t="s">
        <v>649</v>
      </c>
      <c r="D66" s="382" t="s">
        <v>690</v>
      </c>
      <c r="E66" s="405">
        <v>3.31</v>
      </c>
      <c r="F66" s="383">
        <f>E66*17697</f>
        <v>58577.07</v>
      </c>
      <c r="G66" s="383">
        <f t="shared" si="14"/>
        <v>58577.07</v>
      </c>
      <c r="H66" s="383">
        <f t="shared" si="15"/>
        <v>58577.07</v>
      </c>
      <c r="I66" s="377"/>
      <c r="J66" s="375"/>
      <c r="K66" s="375"/>
      <c r="L66" s="375"/>
      <c r="M66" s="383">
        <f t="shared" si="13"/>
        <v>5857.7069999999994</v>
      </c>
      <c r="N66" s="401">
        <f t="shared" si="10"/>
        <v>64434.777000000002</v>
      </c>
    </row>
    <row r="67" spans="1:14">
      <c r="A67" s="421" t="s">
        <v>699</v>
      </c>
      <c r="B67" s="373">
        <v>1</v>
      </c>
      <c r="C67" s="374" t="s">
        <v>700</v>
      </c>
      <c r="D67" s="375" t="s">
        <v>701</v>
      </c>
      <c r="E67" s="375">
        <v>4.2699999999999996</v>
      </c>
      <c r="F67" s="377">
        <f t="shared" ref="F67:F72" si="16">E67*17697</f>
        <v>75566.189999999988</v>
      </c>
      <c r="G67" s="383">
        <f t="shared" si="14"/>
        <v>75566.189999999988</v>
      </c>
      <c r="H67" s="383">
        <f t="shared" si="15"/>
        <v>75566.189999999988</v>
      </c>
      <c r="I67" s="377"/>
      <c r="J67" s="375"/>
      <c r="K67" s="375"/>
      <c r="L67" s="375"/>
      <c r="M67" s="377">
        <f t="shared" si="13"/>
        <v>7556.6189999999988</v>
      </c>
      <c r="N67" s="401">
        <f t="shared" si="10"/>
        <v>83122.808999999979</v>
      </c>
    </row>
    <row r="68" spans="1:14">
      <c r="A68" s="379" t="s">
        <v>702</v>
      </c>
      <c r="B68" s="380">
        <v>1</v>
      </c>
      <c r="C68" s="381" t="s">
        <v>703</v>
      </c>
      <c r="D68" s="382" t="s">
        <v>701</v>
      </c>
      <c r="E68" s="382">
        <v>4.2300000000000004</v>
      </c>
      <c r="F68" s="383">
        <f t="shared" si="16"/>
        <v>74858.310000000012</v>
      </c>
      <c r="G68" s="383">
        <f t="shared" si="14"/>
        <v>74858.310000000012</v>
      </c>
      <c r="H68" s="383">
        <f t="shared" si="15"/>
        <v>74858.310000000012</v>
      </c>
      <c r="I68" s="383"/>
      <c r="J68" s="382"/>
      <c r="K68" s="382"/>
      <c r="L68" s="382"/>
      <c r="M68" s="383">
        <f t="shared" si="13"/>
        <v>7485.831000000001</v>
      </c>
      <c r="N68" s="401">
        <f t="shared" si="10"/>
        <v>82344.141000000018</v>
      </c>
    </row>
    <row r="69" spans="1:14">
      <c r="A69" s="422" t="s">
        <v>704</v>
      </c>
      <c r="B69" s="391">
        <v>1</v>
      </c>
      <c r="C69" s="392" t="s">
        <v>689</v>
      </c>
      <c r="D69" s="393" t="s">
        <v>701</v>
      </c>
      <c r="E69" s="423">
        <v>4.0999999999999996</v>
      </c>
      <c r="F69" s="394">
        <f t="shared" si="16"/>
        <v>72557.7</v>
      </c>
      <c r="G69" s="383">
        <f t="shared" si="14"/>
        <v>72557.7</v>
      </c>
      <c r="H69" s="383">
        <f t="shared" si="15"/>
        <v>72557.7</v>
      </c>
      <c r="I69" s="393"/>
      <c r="J69" s="424"/>
      <c r="K69" s="424"/>
      <c r="L69" s="424"/>
      <c r="M69" s="394">
        <f t="shared" si="13"/>
        <v>7255.77</v>
      </c>
      <c r="N69" s="401">
        <f t="shared" si="10"/>
        <v>79813.47</v>
      </c>
    </row>
    <row r="70" spans="1:14" ht="51">
      <c r="A70" s="425" t="s">
        <v>705</v>
      </c>
      <c r="B70" s="382">
        <v>0.5</v>
      </c>
      <c r="C70" s="426" t="s">
        <v>706</v>
      </c>
      <c r="D70" s="382" t="s">
        <v>687</v>
      </c>
      <c r="E70" s="405">
        <v>3.43</v>
      </c>
      <c r="F70" s="383">
        <f t="shared" si="16"/>
        <v>60700.710000000006</v>
      </c>
      <c r="G70" s="383">
        <f t="shared" si="14"/>
        <v>60700.710000000006</v>
      </c>
      <c r="H70" s="383">
        <f t="shared" si="15"/>
        <v>30350.355000000003</v>
      </c>
      <c r="I70" s="382"/>
      <c r="J70" s="427"/>
      <c r="K70" s="427"/>
      <c r="L70" s="427"/>
      <c r="M70" s="383">
        <f t="shared" si="13"/>
        <v>3035.0355000000004</v>
      </c>
      <c r="N70" s="401">
        <f t="shared" si="10"/>
        <v>33385.390500000001</v>
      </c>
    </row>
    <row r="71" spans="1:14">
      <c r="A71" s="425" t="s">
        <v>707</v>
      </c>
      <c r="B71" s="382">
        <v>1</v>
      </c>
      <c r="C71" s="426" t="s">
        <v>708</v>
      </c>
      <c r="D71" s="382" t="s">
        <v>693</v>
      </c>
      <c r="E71" s="405">
        <v>4.46</v>
      </c>
      <c r="F71" s="383">
        <f t="shared" si="16"/>
        <v>78928.62</v>
      </c>
      <c r="G71" s="383">
        <f t="shared" si="14"/>
        <v>78928.62</v>
      </c>
      <c r="H71" s="383">
        <f t="shared" si="15"/>
        <v>78928.62</v>
      </c>
      <c r="I71" s="382"/>
      <c r="J71" s="427"/>
      <c r="K71" s="427"/>
      <c r="L71" s="427"/>
      <c r="M71" s="383">
        <f t="shared" si="13"/>
        <v>7892.8619999999992</v>
      </c>
      <c r="N71" s="401">
        <f t="shared" si="10"/>
        <v>86821.481999999989</v>
      </c>
    </row>
    <row r="72" spans="1:14" ht="15.75" thickBot="1">
      <c r="A72" s="428" t="s">
        <v>707</v>
      </c>
      <c r="B72" s="393">
        <v>1</v>
      </c>
      <c r="C72" s="396" t="s">
        <v>709</v>
      </c>
      <c r="D72" s="393" t="s">
        <v>690</v>
      </c>
      <c r="E72" s="423">
        <v>3.31</v>
      </c>
      <c r="F72" s="383">
        <f t="shared" si="16"/>
        <v>58577.07</v>
      </c>
      <c r="G72" s="383">
        <f t="shared" si="14"/>
        <v>58577.07</v>
      </c>
      <c r="H72" s="383">
        <f t="shared" si="15"/>
        <v>58577.07</v>
      </c>
      <c r="I72" s="393"/>
      <c r="J72" s="424"/>
      <c r="K72" s="424"/>
      <c r="L72" s="424"/>
      <c r="M72" s="383">
        <f t="shared" si="13"/>
        <v>5857.7069999999994</v>
      </c>
      <c r="N72" s="401">
        <f t="shared" si="10"/>
        <v>64434.777000000002</v>
      </c>
    </row>
    <row r="73" spans="1:14" ht="15.75" thickBot="1">
      <c r="A73" s="429" t="s">
        <v>710</v>
      </c>
      <c r="B73" s="398">
        <f>SUM(B55:B72)</f>
        <v>17.5</v>
      </c>
      <c r="C73" s="399"/>
      <c r="D73" s="399"/>
      <c r="E73" s="399"/>
      <c r="F73" s="399"/>
      <c r="G73" s="399"/>
      <c r="H73" s="399">
        <f>SUM(H55:H72)</f>
        <v>1178000.8049999999</v>
      </c>
      <c r="I73" s="399"/>
      <c r="J73" s="399">
        <f>SUM(J55:J72)</f>
        <v>5309</v>
      </c>
      <c r="K73" s="399"/>
      <c r="L73" s="399"/>
      <c r="M73" s="399">
        <f>SUM(M55:M72)</f>
        <v>117800.08049999997</v>
      </c>
      <c r="N73" s="399">
        <f>SUM(N55:N72)</f>
        <v>1301109.8855000001</v>
      </c>
    </row>
    <row r="74" spans="1:14">
      <c r="A74" s="430" t="s">
        <v>711</v>
      </c>
      <c r="B74" s="412">
        <v>1</v>
      </c>
      <c r="C74" s="413" t="s">
        <v>712</v>
      </c>
      <c r="D74" s="414" t="s">
        <v>713</v>
      </c>
      <c r="E74" s="415">
        <v>3.16</v>
      </c>
      <c r="F74" s="416">
        <f t="shared" ref="F74:F75" si="17">E74*17697</f>
        <v>55922.520000000004</v>
      </c>
      <c r="G74" s="416">
        <f>F74</f>
        <v>55922.520000000004</v>
      </c>
      <c r="H74" s="416">
        <f>G74*B74</f>
        <v>55922.520000000004</v>
      </c>
      <c r="I74" s="416"/>
      <c r="J74" s="414"/>
      <c r="K74" s="414"/>
      <c r="L74" s="414"/>
      <c r="M74" s="416">
        <f t="shared" ref="M74:M75" si="18">H74*10/100</f>
        <v>5592.2520000000004</v>
      </c>
      <c r="N74" s="401">
        <f t="shared" si="10"/>
        <v>61514.772000000004</v>
      </c>
    </row>
    <row r="75" spans="1:14" ht="15.75" thickBot="1">
      <c r="A75" s="422" t="s">
        <v>714</v>
      </c>
      <c r="B75" s="391">
        <v>1</v>
      </c>
      <c r="C75" s="392" t="s">
        <v>715</v>
      </c>
      <c r="D75" s="393" t="s">
        <v>713</v>
      </c>
      <c r="E75" s="423">
        <v>3.04</v>
      </c>
      <c r="F75" s="394">
        <f t="shared" si="17"/>
        <v>53798.879999999997</v>
      </c>
      <c r="G75" s="394">
        <f>F75</f>
        <v>53798.879999999997</v>
      </c>
      <c r="H75" s="394">
        <f>G75*B75</f>
        <v>53798.879999999997</v>
      </c>
      <c r="I75" s="394"/>
      <c r="J75" s="393"/>
      <c r="K75" s="393"/>
      <c r="L75" s="393"/>
      <c r="M75" s="394">
        <f t="shared" si="18"/>
        <v>5379.887999999999</v>
      </c>
      <c r="N75" s="401">
        <f t="shared" si="10"/>
        <v>59178.767999999996</v>
      </c>
    </row>
    <row r="76" spans="1:14" ht="15.75" thickBot="1">
      <c r="A76" s="429" t="s">
        <v>716</v>
      </c>
      <c r="B76" s="431">
        <f>SUM(B74:B75)</f>
        <v>2</v>
      </c>
      <c r="C76" s="408"/>
      <c r="D76" s="409"/>
      <c r="E76" s="409"/>
      <c r="F76" s="409"/>
      <c r="G76" s="409"/>
      <c r="H76" s="410">
        <f>SUM(H74:H75)</f>
        <v>109721.4</v>
      </c>
      <c r="I76" s="410"/>
      <c r="J76" s="410"/>
      <c r="K76" s="410"/>
      <c r="L76" s="410"/>
      <c r="M76" s="410">
        <f>SUM(M74:M75)</f>
        <v>10972.14</v>
      </c>
      <c r="N76" s="399">
        <f>SUM(N74:N75)</f>
        <v>120693.54000000001</v>
      </c>
    </row>
    <row r="77" spans="1:14">
      <c r="A77" s="432" t="s">
        <v>717</v>
      </c>
      <c r="B77" s="433">
        <v>0.5</v>
      </c>
      <c r="C77" s="434"/>
      <c r="D77" s="433">
        <v>4</v>
      </c>
      <c r="E77" s="435">
        <v>2.89</v>
      </c>
      <c r="F77" s="436">
        <f t="shared" ref="F77:F84" si="19">E77*17697</f>
        <v>51144.33</v>
      </c>
      <c r="G77" s="436">
        <f>F77</f>
        <v>51144.33</v>
      </c>
      <c r="H77" s="436">
        <f>G77*B77</f>
        <v>25572.165000000001</v>
      </c>
      <c r="I77" s="437"/>
      <c r="J77" s="437"/>
      <c r="K77" s="437"/>
      <c r="L77" s="437"/>
      <c r="M77" s="436">
        <f t="shared" ref="M77:M84" si="20">H77*10/100</f>
        <v>2557.2165000000005</v>
      </c>
      <c r="N77" s="401">
        <f t="shared" si="10"/>
        <v>28129.381500000003</v>
      </c>
    </row>
    <row r="78" spans="1:14">
      <c r="A78" s="379" t="s">
        <v>718</v>
      </c>
      <c r="B78" s="380">
        <v>1.5</v>
      </c>
      <c r="C78" s="400"/>
      <c r="D78" s="382">
        <v>1</v>
      </c>
      <c r="E78" s="382">
        <v>2.77</v>
      </c>
      <c r="F78" s="383">
        <f t="shared" si="19"/>
        <v>49020.69</v>
      </c>
      <c r="G78" s="383">
        <f>F78</f>
        <v>49020.69</v>
      </c>
      <c r="H78" s="383">
        <f>G78*B78</f>
        <v>73531.035000000003</v>
      </c>
      <c r="I78" s="383"/>
      <c r="J78" s="382"/>
      <c r="K78" s="382"/>
      <c r="L78" s="382"/>
      <c r="M78" s="383">
        <f t="shared" si="20"/>
        <v>7353.1035000000011</v>
      </c>
      <c r="N78" s="401">
        <f t="shared" si="10"/>
        <v>80884.138500000001</v>
      </c>
    </row>
    <row r="79" spans="1:14">
      <c r="A79" s="379" t="s">
        <v>719</v>
      </c>
      <c r="B79" s="380">
        <v>3</v>
      </c>
      <c r="C79" s="400"/>
      <c r="D79" s="382">
        <v>1</v>
      </c>
      <c r="E79" s="382">
        <v>2.77</v>
      </c>
      <c r="F79" s="383">
        <f t="shared" si="19"/>
        <v>49020.69</v>
      </c>
      <c r="G79" s="383">
        <f t="shared" ref="G79:G84" si="21">F79</f>
        <v>49020.69</v>
      </c>
      <c r="H79" s="383">
        <f t="shared" ref="H79:H84" si="22">G79*B79</f>
        <v>147062.07</v>
      </c>
      <c r="I79" s="438">
        <v>3640</v>
      </c>
      <c r="J79" s="438">
        <v>31616</v>
      </c>
      <c r="K79" s="438"/>
      <c r="L79" s="438"/>
      <c r="M79" s="383">
        <f t="shared" si="20"/>
        <v>14706.207000000002</v>
      </c>
      <c r="N79" s="401">
        <f t="shared" si="10"/>
        <v>197024.277</v>
      </c>
    </row>
    <row r="80" spans="1:14">
      <c r="A80" s="379" t="s">
        <v>720</v>
      </c>
      <c r="B80" s="380">
        <v>2</v>
      </c>
      <c r="C80" s="400"/>
      <c r="D80" s="382">
        <v>1</v>
      </c>
      <c r="E80" s="382">
        <v>2.77</v>
      </c>
      <c r="F80" s="383">
        <f t="shared" si="19"/>
        <v>49020.69</v>
      </c>
      <c r="G80" s="383">
        <f t="shared" si="21"/>
        <v>49020.69</v>
      </c>
      <c r="H80" s="383">
        <f t="shared" si="22"/>
        <v>98041.38</v>
      </c>
      <c r="I80" s="383"/>
      <c r="J80" s="382"/>
      <c r="K80" s="382"/>
      <c r="L80" s="382"/>
      <c r="M80" s="383">
        <f t="shared" si="20"/>
        <v>9804.1380000000008</v>
      </c>
      <c r="N80" s="401">
        <f t="shared" si="10"/>
        <v>107845.51800000001</v>
      </c>
    </row>
    <row r="81" spans="1:14">
      <c r="A81" s="379" t="s">
        <v>721</v>
      </c>
      <c r="B81" s="380">
        <v>2.5</v>
      </c>
      <c r="C81" s="400"/>
      <c r="D81" s="382">
        <v>1</v>
      </c>
      <c r="E81" s="382">
        <v>2.77</v>
      </c>
      <c r="F81" s="383">
        <f t="shared" si="19"/>
        <v>49020.69</v>
      </c>
      <c r="G81" s="383">
        <f t="shared" si="21"/>
        <v>49020.69</v>
      </c>
      <c r="H81" s="383">
        <f t="shared" si="22"/>
        <v>122551.72500000001</v>
      </c>
      <c r="I81" s="383"/>
      <c r="J81" s="382"/>
      <c r="K81" s="382"/>
      <c r="L81" s="382"/>
      <c r="M81" s="383">
        <f t="shared" si="20"/>
        <v>12255.172500000001</v>
      </c>
      <c r="N81" s="401">
        <f t="shared" si="10"/>
        <v>134806.89750000002</v>
      </c>
    </row>
    <row r="82" spans="1:14">
      <c r="A82" s="379" t="s">
        <v>722</v>
      </c>
      <c r="B82" s="380">
        <v>17</v>
      </c>
      <c r="C82" s="439"/>
      <c r="D82" s="382">
        <v>2</v>
      </c>
      <c r="E82" s="426" t="s">
        <v>723</v>
      </c>
      <c r="F82" s="383">
        <f t="shared" si="19"/>
        <v>49728.57</v>
      </c>
      <c r="G82" s="383">
        <f t="shared" si="21"/>
        <v>49728.57</v>
      </c>
      <c r="H82" s="383">
        <f t="shared" si="22"/>
        <v>845385.69</v>
      </c>
      <c r="I82" s="383"/>
      <c r="J82" s="440">
        <v>49551</v>
      </c>
      <c r="K82" s="3"/>
      <c r="L82" s="3"/>
      <c r="M82" s="383">
        <f t="shared" si="20"/>
        <v>84538.568999999989</v>
      </c>
      <c r="N82" s="401">
        <f t="shared" si="10"/>
        <v>979475.25899999996</v>
      </c>
    </row>
    <row r="83" spans="1:14">
      <c r="A83" s="441" t="s">
        <v>724</v>
      </c>
      <c r="B83" s="442">
        <v>1</v>
      </c>
      <c r="C83" s="443"/>
      <c r="D83" s="444" t="s">
        <v>349</v>
      </c>
      <c r="E83" s="445">
        <v>2.84</v>
      </c>
      <c r="F83" s="383">
        <f t="shared" si="19"/>
        <v>50259.479999999996</v>
      </c>
      <c r="G83" s="383">
        <f t="shared" si="21"/>
        <v>50259.479999999996</v>
      </c>
      <c r="H83" s="383">
        <f t="shared" si="22"/>
        <v>50259.479999999996</v>
      </c>
      <c r="I83" s="382"/>
      <c r="J83" s="446"/>
      <c r="K83" s="446"/>
      <c r="L83" s="446"/>
      <c r="M83" s="447">
        <f t="shared" si="20"/>
        <v>5025.9479999999994</v>
      </c>
      <c r="N83" s="401">
        <f t="shared" si="10"/>
        <v>55285.427999999993</v>
      </c>
    </row>
    <row r="84" spans="1:14" ht="25.5" customHeight="1" thickBot="1">
      <c r="A84" s="390" t="s">
        <v>725</v>
      </c>
      <c r="B84" s="448">
        <v>2</v>
      </c>
      <c r="C84" s="449"/>
      <c r="D84" s="450">
        <v>3</v>
      </c>
      <c r="E84" s="450">
        <v>2.84</v>
      </c>
      <c r="F84" s="451">
        <f t="shared" si="19"/>
        <v>50259.479999999996</v>
      </c>
      <c r="G84" s="383">
        <f t="shared" si="21"/>
        <v>50259.479999999996</v>
      </c>
      <c r="H84" s="383">
        <f t="shared" si="22"/>
        <v>100518.95999999999</v>
      </c>
      <c r="I84" s="451"/>
      <c r="J84" s="450"/>
      <c r="K84" s="450"/>
      <c r="L84" s="450"/>
      <c r="M84" s="451">
        <f t="shared" si="20"/>
        <v>10051.895999999999</v>
      </c>
      <c r="N84" s="401">
        <f t="shared" si="10"/>
        <v>110570.85599999999</v>
      </c>
    </row>
    <row r="85" spans="1:14" ht="15.75" thickBot="1">
      <c r="A85" s="452" t="s">
        <v>726</v>
      </c>
      <c r="B85" s="431">
        <f>SUM(B77:B84)</f>
        <v>29.5</v>
      </c>
      <c r="C85" s="431"/>
      <c r="D85" s="431"/>
      <c r="E85" s="431"/>
      <c r="F85" s="431"/>
      <c r="G85" s="431"/>
      <c r="H85" s="399">
        <f>SUM(H77:H84)</f>
        <v>1462922.5049999999</v>
      </c>
      <c r="I85" s="399">
        <f>SUM(I77:I84)</f>
        <v>3640</v>
      </c>
      <c r="J85" s="399">
        <f>SUM(J77:J84)</f>
        <v>81167</v>
      </c>
      <c r="K85" s="399"/>
      <c r="L85" s="399"/>
      <c r="M85" s="399">
        <f>SUM(M77:M84)</f>
        <v>146292.25049999999</v>
      </c>
      <c r="N85" s="399">
        <f>SUM(N77:N84)</f>
        <v>1694021.7555</v>
      </c>
    </row>
    <row r="86" spans="1:14" ht="15.75" thickBot="1">
      <c r="A86" s="453" t="s">
        <v>65</v>
      </c>
      <c r="B86" s="398">
        <f>B37+B54+B73+B76+B85</f>
        <v>75.5</v>
      </c>
      <c r="C86" s="454"/>
      <c r="D86" s="398"/>
      <c r="E86" s="398"/>
      <c r="F86" s="398"/>
      <c r="G86" s="398"/>
      <c r="H86" s="399">
        <f>H37+H54+H73+H76+H85</f>
        <v>5857485.7874999996</v>
      </c>
      <c r="I86" s="399">
        <f t="shared" ref="I86:N86" si="23">I37+I54+I73+I76+I85</f>
        <v>3640</v>
      </c>
      <c r="J86" s="399">
        <f t="shared" si="23"/>
        <v>100634</v>
      </c>
      <c r="K86" s="399">
        <f t="shared" si="23"/>
        <v>355975.15500000003</v>
      </c>
      <c r="L86" s="399">
        <f t="shared" si="23"/>
        <v>74460.127500000002</v>
      </c>
      <c r="M86" s="399">
        <f t="shared" si="23"/>
        <v>585748.57874999999</v>
      </c>
      <c r="N86" s="399">
        <f t="shared" si="23"/>
        <v>6977943.6487500006</v>
      </c>
    </row>
    <row r="87" spans="1:14">
      <c r="A87" s="455"/>
      <c r="B87" s="456"/>
      <c r="C87" s="456"/>
      <c r="D87" s="456"/>
      <c r="E87" s="456"/>
      <c r="F87" s="456"/>
      <c r="G87" s="456"/>
      <c r="H87" s="457"/>
      <c r="I87" s="457"/>
      <c r="J87" s="457"/>
      <c r="K87" s="457"/>
      <c r="L87" s="457"/>
      <c r="M87" s="457"/>
      <c r="N87" s="457"/>
    </row>
    <row r="88" spans="1:14">
      <c r="A88" s="455"/>
      <c r="B88" s="456"/>
      <c r="C88" s="456"/>
      <c r="D88" s="456"/>
      <c r="E88" s="456"/>
      <c r="F88" s="456"/>
      <c r="G88" s="456"/>
      <c r="H88" s="457"/>
      <c r="I88" s="457"/>
      <c r="J88" s="457"/>
      <c r="K88" s="457"/>
      <c r="L88" s="457"/>
      <c r="M88" s="457"/>
      <c r="N88" s="457"/>
    </row>
    <row r="89" spans="1:14">
      <c r="A89" s="3"/>
      <c r="B89" s="3"/>
      <c r="C89" s="3"/>
      <c r="D89" s="3"/>
      <c r="E89" s="3"/>
      <c r="F89" s="3"/>
      <c r="G89" s="3"/>
      <c r="H89" s="3"/>
      <c r="I89" s="3"/>
      <c r="J89" s="458"/>
      <c r="K89" s="458"/>
      <c r="L89" s="458"/>
      <c r="M89" s="458"/>
      <c r="N89" s="459"/>
    </row>
    <row r="90" spans="1:14">
      <c r="A90" s="460" t="s">
        <v>638</v>
      </c>
      <c r="B90" s="460"/>
      <c r="C90" s="461"/>
      <c r="D90" s="461"/>
      <c r="E90" s="461"/>
      <c r="F90" s="461"/>
      <c r="G90" s="461"/>
      <c r="H90" s="3" t="s">
        <v>727</v>
      </c>
      <c r="I90" s="462"/>
      <c r="J90" s="3"/>
      <c r="K90" s="3"/>
      <c r="L90" s="3"/>
      <c r="M90" s="3"/>
      <c r="N90" s="3"/>
    </row>
    <row r="92" spans="1:14">
      <c r="A92" s="463" t="s">
        <v>707</v>
      </c>
      <c r="B92" s="464"/>
      <c r="C92" s="347"/>
      <c r="D92" s="347"/>
      <c r="E92" s="347"/>
      <c r="F92" s="347"/>
      <c r="G92" s="347"/>
      <c r="H92" t="s">
        <v>728</v>
      </c>
      <c r="I92" s="465"/>
      <c r="J92" s="2"/>
      <c r="K92" s="2"/>
      <c r="L92" s="2"/>
      <c r="M92" s="2"/>
    </row>
  </sheetData>
  <mergeCells count="7">
    <mergeCell ref="M22:M23"/>
    <mergeCell ref="A22:A23"/>
    <mergeCell ref="D22:D23"/>
    <mergeCell ref="G22:G23"/>
    <mergeCell ref="J22:J23"/>
    <mergeCell ref="K22:K23"/>
    <mergeCell ref="L22:L2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план 2021</vt:lpstr>
      <vt:lpstr>на дому тарификация</vt:lpstr>
      <vt:lpstr>тарификация 01012021</vt:lpstr>
      <vt:lpstr>Лист1</vt:lpstr>
      <vt:lpstr>штатка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2021-03-15T06:59:14Z</dcterms:modified>
</cp:coreProperties>
</file>